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 filterPrivacy="1"/>
  <xr:revisionPtr revIDLastSave="0" documentId="10_ncr:8100000_{75260B37-6755-4707-BBD0-A141C94D3796}" xr6:coauthVersionLast="34" xr6:coauthVersionMax="34" xr10:uidLastSave="{00000000-0000-0000-0000-000000000000}"/>
  <bookViews>
    <workbookView xWindow="0" yWindow="0" windowWidth="22260" windowHeight="12645" xr2:uid="{00000000-000D-0000-FFFF-FFFF00000000}"/>
  </bookViews>
  <sheets>
    <sheet name="Additiv Techsoil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6" l="1"/>
  <c r="F64" i="6"/>
  <c r="L71" i="6" l="1"/>
  <c r="L58" i="6" l="1"/>
  <c r="F66" i="6" l="1"/>
  <c r="L64" i="6"/>
  <c r="G59" i="6"/>
  <c r="F68" i="6" l="1"/>
  <c r="F69" i="6" s="1"/>
  <c r="F70" i="6" s="1"/>
  <c r="F67" i="6"/>
  <c r="L65" i="6"/>
  <c r="K72" i="6"/>
  <c r="L66" i="6" l="1"/>
  <c r="L67" i="6"/>
  <c r="L68" i="6"/>
  <c r="L69" i="6" s="1"/>
  <c r="M59" i="6"/>
  <c r="G41" i="6" l="1"/>
  <c r="J41" i="6"/>
  <c r="L41" i="6" l="1"/>
  <c r="J44" i="6" l="1"/>
  <c r="D37" i="6"/>
  <c r="D36" i="6"/>
  <c r="G37" i="6"/>
  <c r="D17" i="6"/>
  <c r="K21" i="6"/>
  <c r="K24" i="6" s="1"/>
  <c r="K25" i="6"/>
  <c r="K44" i="6"/>
  <c r="K45" i="6"/>
  <c r="L24" i="6"/>
  <c r="J21" i="6"/>
  <c r="J24" i="6" s="1"/>
  <c r="I21" i="6"/>
  <c r="I24" i="6" s="1"/>
  <c r="H21" i="6"/>
  <c r="H24" i="6" s="1"/>
  <c r="G21" i="6"/>
  <c r="G24" i="6" s="1"/>
  <c r="F21" i="6"/>
  <c r="D35" i="6"/>
  <c r="D34" i="6"/>
  <c r="D33" i="6"/>
  <c r="D32" i="6"/>
  <c r="D31" i="6"/>
  <c r="L45" i="6"/>
  <c r="J45" i="6"/>
  <c r="I45" i="6"/>
  <c r="H45" i="6"/>
  <c r="G45" i="6"/>
  <c r="F45" i="6"/>
  <c r="L44" i="6"/>
  <c r="I44" i="6"/>
  <c r="H44" i="6"/>
  <c r="G44" i="6"/>
  <c r="F44" i="6"/>
  <c r="G36" i="6"/>
  <c r="G35" i="6"/>
  <c r="G34" i="6"/>
  <c r="G33" i="6"/>
  <c r="G32" i="6"/>
  <c r="G31" i="6"/>
  <c r="E50" i="6"/>
  <c r="F50" i="6"/>
  <c r="G50" i="6"/>
  <c r="E51" i="6"/>
  <c r="F51" i="6"/>
  <c r="G51" i="6"/>
  <c r="E52" i="6"/>
  <c r="F52" i="6"/>
  <c r="G52" i="6"/>
  <c r="M25" i="6"/>
  <c r="L25" i="6"/>
  <c r="J25" i="6"/>
  <c r="I25" i="6"/>
  <c r="H25" i="6"/>
  <c r="G25" i="6"/>
  <c r="F25" i="6"/>
  <c r="M24" i="6"/>
  <c r="F24" i="6"/>
  <c r="G17" i="6"/>
  <c r="G16" i="6"/>
  <c r="D16" i="6"/>
  <c r="G15" i="6"/>
  <c r="D15" i="6"/>
  <c r="G14" i="6"/>
  <c r="D14" i="6"/>
  <c r="G13" i="6"/>
  <c r="D13" i="6"/>
  <c r="G12" i="6"/>
  <c r="D12" i="6"/>
  <c r="E5" i="6"/>
  <c r="F26" i="6" l="1"/>
  <c r="E12" i="6" s="1"/>
  <c r="L26" i="6"/>
  <c r="H37" i="6"/>
  <c r="J26" i="6"/>
  <c r="E16" i="6" s="1"/>
  <c r="K26" i="6"/>
  <c r="E17" i="6" s="1"/>
  <c r="J46" i="6"/>
  <c r="E35" i="6" s="1"/>
  <c r="K46" i="6"/>
  <c r="E36" i="6" s="1"/>
  <c r="M26" i="6"/>
  <c r="F46" i="6"/>
  <c r="E31" i="6" s="1"/>
  <c r="G46" i="6"/>
  <c r="E32" i="6" s="1"/>
  <c r="H46" i="6"/>
  <c r="E33" i="6" s="1"/>
  <c r="I26" i="6"/>
  <c r="E15" i="6" s="1"/>
  <c r="H33" i="6"/>
  <c r="L46" i="6"/>
  <c r="G26" i="6"/>
  <c r="E13" i="6" s="1"/>
  <c r="I46" i="6"/>
  <c r="E34" i="6" s="1"/>
  <c r="H35" i="6"/>
  <c r="I35" i="6" s="1"/>
  <c r="H26" i="6"/>
  <c r="E14" i="6" s="1"/>
  <c r="H34" i="6"/>
  <c r="H32" i="6"/>
  <c r="H12" i="6"/>
  <c r="I12" i="6" s="1"/>
  <c r="H31" i="6"/>
  <c r="H14" i="6"/>
  <c r="H36" i="6"/>
  <c r="H13" i="6"/>
  <c r="H15" i="6"/>
  <c r="H17" i="6"/>
  <c r="H16" i="6"/>
  <c r="L60" i="6" l="1"/>
  <c r="L70" i="6" s="1"/>
  <c r="I16" i="6"/>
  <c r="E37" i="6"/>
  <c r="I37" i="6" s="1"/>
  <c r="I33" i="6"/>
  <c r="I32" i="6"/>
  <c r="I15" i="6"/>
  <c r="I13" i="6"/>
  <c r="I17" i="6"/>
  <c r="I14" i="6"/>
  <c r="I31" i="6"/>
  <c r="I36" i="6"/>
  <c r="I34" i="6"/>
  <c r="H74" i="6" l="1"/>
  <c r="L72" i="6"/>
  <c r="L63" i="6"/>
</calcChain>
</file>

<file path=xl/sharedStrings.xml><?xml version="1.0" encoding="utf-8"?>
<sst xmlns="http://schemas.openxmlformats.org/spreadsheetml/2006/main" count="96" uniqueCount="56">
  <si>
    <t>Volumen Zylinder</t>
  </si>
  <si>
    <t>Wassergehalt</t>
  </si>
  <si>
    <t>Gewicht mit Zylinder</t>
  </si>
  <si>
    <t>Korndichte der Probe</t>
  </si>
  <si>
    <t>Sättigungslinien bei</t>
  </si>
  <si>
    <t>Masse der Feuchtprobe mit Behälter</t>
  </si>
  <si>
    <t>Masse der trochenen Probe mit Behälter</t>
  </si>
  <si>
    <t>Masse des Behälters</t>
  </si>
  <si>
    <t>Masse des Porenwassers</t>
  </si>
  <si>
    <t>Masse der trockenen Probe</t>
  </si>
  <si>
    <t>Proben Nr.</t>
  </si>
  <si>
    <t>Boden Masse</t>
  </si>
  <si>
    <t>Ablesung:</t>
  </si>
  <si>
    <t>%</t>
  </si>
  <si>
    <t>Zementzugabe:</t>
  </si>
  <si>
    <t>Kalkzugabe:</t>
  </si>
  <si>
    <t>Baustelle</t>
  </si>
  <si>
    <t>Liter</t>
  </si>
  <si>
    <t>kg /m3</t>
  </si>
  <si>
    <t>Feucht dichte</t>
  </si>
  <si>
    <t>Trocken dichte</t>
  </si>
  <si>
    <t>Wassergehalt durch Trocknung</t>
  </si>
  <si>
    <t>Leergewicht Zylinder</t>
  </si>
  <si>
    <t>Bestimmung des Wassergehaltes der einzelen Probekörper ohne Additiv</t>
  </si>
  <si>
    <t>Proben ohne Additiv Nr.</t>
  </si>
  <si>
    <t>Bestimmung des Wassergehaltes der einzelen Probekörper mit Additiv</t>
  </si>
  <si>
    <t>Additiv flüssig in kg:</t>
  </si>
  <si>
    <t>1 N18</t>
  </si>
  <si>
    <t>2 N18</t>
  </si>
  <si>
    <t>3 N18</t>
  </si>
  <si>
    <t>4 N18</t>
  </si>
  <si>
    <t>5 N18</t>
  </si>
  <si>
    <t>6 N18</t>
  </si>
  <si>
    <t>7 N18</t>
  </si>
  <si>
    <r>
      <rPr>
        <b/>
        <sz val="11"/>
        <color theme="4"/>
        <rFont val="Calibri"/>
        <family val="2"/>
        <scheme val="minor"/>
      </rPr>
      <t xml:space="preserve">Proben mit Additiv </t>
    </r>
    <r>
      <rPr>
        <b/>
        <sz val="11"/>
        <color theme="1"/>
        <rFont val="Calibri"/>
        <family val="2"/>
        <scheme val="minor"/>
      </rPr>
      <t>N18 1:175
 Nr.</t>
    </r>
  </si>
  <si>
    <t>Techsoil.de</t>
  </si>
  <si>
    <t>Proctortest mit Additiv zur Bodenverfestigung</t>
  </si>
  <si>
    <t>optimum Wasserzugabe mit Bindemitteln:</t>
  </si>
  <si>
    <t xml:space="preserve">Differrenz Optimal Dpr / Site </t>
  </si>
  <si>
    <t>Mischungsverhältnis herstellen</t>
  </si>
  <si>
    <t>Einstreumenge Bindemittel in kg/m3:</t>
  </si>
  <si>
    <t>Ausführung als Bodenverfestigung vor Ort:</t>
  </si>
  <si>
    <t>Mit 4,5 % Bindemittel 30/70 nach 1 Stunde Reeaktionszeit</t>
  </si>
  <si>
    <t>optimaler Wassergehalt wPr mit Additiv (Labor)</t>
  </si>
  <si>
    <t>100 % Proctordichte mit Additiv (Labor)</t>
  </si>
  <si>
    <t>Bindemittel Total</t>
  </si>
  <si>
    <t>Proctor Normal: Ohne Additiv theoretisch Labor</t>
  </si>
  <si>
    <t>Anmerkung: Hier mit einer theoretischen Verdichtung von 100% gerechnet. 0% Eigenfeuchte</t>
  </si>
  <si>
    <t>Ist Wassergehalt durch Trocknung auf Baustelle:</t>
  </si>
  <si>
    <t>Rote Werte veränderbar !</t>
  </si>
  <si>
    <t>Proctor mit Additiv</t>
  </si>
  <si>
    <r>
      <t xml:space="preserve">Anmerkung: Hier mit einer theoretischen Verdichtung von 100% gerechnet. </t>
    </r>
    <r>
      <rPr>
        <b/>
        <i/>
        <sz val="14"/>
        <rFont val="Calibri"/>
        <family val="2"/>
        <scheme val="minor"/>
      </rPr>
      <t>Gefordert sind nur 98%</t>
    </r>
  </si>
  <si>
    <t>Absorbierendes Wasser durch Bindemittelzugabe:</t>
  </si>
  <si>
    <t>Ersetzt nicht eine Eignungsprüfung.</t>
  </si>
  <si>
    <t>optimaler Wassergehalt wPr ohne Additiv (Labor)</t>
  </si>
  <si>
    <t>100 % Proctordichte ohne Additiv (Labor)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</si>
</sst>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"/>
    <numFmt numFmtId="166" formatCode="0.0"/>
    <numFmt numFmtId="167" formatCode="0.00\ &quot;g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28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double">
        <color rgb="FF00B0F0"/>
      </left>
      <right/>
      <top style="double">
        <color rgb="FF00B0F0"/>
      </top>
      <bottom/>
      <diagonal/>
    </border>
    <border>
      <left/>
      <right/>
      <top style="double">
        <color rgb="FF00B0F0"/>
      </top>
      <bottom/>
      <diagonal/>
    </border>
    <border>
      <left/>
      <right style="double">
        <color rgb="FF00B0F0"/>
      </right>
      <top style="double">
        <color rgb="FF00B0F0"/>
      </top>
      <bottom/>
      <diagonal/>
    </border>
    <border>
      <left style="double">
        <color rgb="FF00B0F0"/>
      </left>
      <right/>
      <top/>
      <bottom/>
      <diagonal/>
    </border>
    <border>
      <left/>
      <right style="double">
        <color rgb="FF00B0F0"/>
      </right>
      <top/>
      <bottom/>
      <diagonal/>
    </border>
    <border>
      <left style="double">
        <color rgb="FF00B0F0"/>
      </left>
      <right/>
      <top/>
      <bottom style="double">
        <color rgb="FF00B0F0"/>
      </bottom>
      <diagonal/>
    </border>
    <border>
      <left/>
      <right/>
      <top/>
      <bottom style="double">
        <color rgb="FF00B0F0"/>
      </bottom>
      <diagonal/>
    </border>
    <border>
      <left/>
      <right style="double">
        <color rgb="FF00B0F0"/>
      </right>
      <top/>
      <bottom style="double">
        <color rgb="FF00B0F0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/>
      <diagonal/>
    </border>
    <border>
      <left style="double">
        <color rgb="FF00B0F0"/>
      </left>
      <right style="double">
        <color rgb="FF00B0F0"/>
      </right>
      <top/>
      <bottom/>
      <diagonal/>
    </border>
    <border>
      <left style="double">
        <color rgb="FF00B0F0"/>
      </left>
      <right style="double">
        <color rgb="FF00B0F0"/>
      </right>
      <top/>
      <bottom style="double">
        <color rgb="FF00B0F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3" borderId="0" xfId="0" applyFill="1"/>
    <xf numFmtId="9" fontId="0" fillId="3" borderId="0" xfId="1" applyFont="1" applyFill="1"/>
    <xf numFmtId="0" fontId="2" fillId="3" borderId="0" xfId="0" applyFont="1" applyFill="1"/>
    <xf numFmtId="165" fontId="0" fillId="3" borderId="0" xfId="0" applyNumberFormat="1" applyFill="1"/>
    <xf numFmtId="0" fontId="0" fillId="2" borderId="0" xfId="0" applyFill="1" applyBorder="1"/>
    <xf numFmtId="0" fontId="3" fillId="2" borderId="0" xfId="0" applyFont="1" applyFill="1" applyBorder="1"/>
    <xf numFmtId="166" fontId="2" fillId="2" borderId="0" xfId="1" applyNumberFormat="1" applyFont="1" applyFill="1" applyBorder="1"/>
    <xf numFmtId="0" fontId="2" fillId="2" borderId="0" xfId="0" applyNumberFormat="1" applyFont="1" applyFill="1" applyBorder="1"/>
    <xf numFmtId="164" fontId="0" fillId="2" borderId="0" xfId="1" applyNumberFormat="1" applyFont="1" applyFill="1" applyBorder="1" applyAlignment="1">
      <alignment horizontal="center"/>
    </xf>
    <xf numFmtId="2" fontId="0" fillId="2" borderId="0" xfId="0" applyNumberFormat="1" applyFill="1" applyBorder="1"/>
    <xf numFmtId="1" fontId="0" fillId="2" borderId="0" xfId="0" applyNumberFormat="1" applyFill="1" applyBorder="1"/>
    <xf numFmtId="0" fontId="5" fillId="2" borderId="2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2" borderId="4" xfId="0" applyFill="1" applyBorder="1"/>
    <xf numFmtId="0" fontId="0" fillId="2" borderId="5" xfId="0" applyFill="1" applyBorder="1"/>
    <xf numFmtId="164" fontId="0" fillId="2" borderId="5" xfId="1" applyNumberFormat="1" applyFont="1" applyFill="1" applyBorder="1" applyAlignment="1">
      <alignment horizontal="center"/>
    </xf>
    <xf numFmtId="164" fontId="0" fillId="2" borderId="5" xfId="0" applyNumberForma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1" xfId="0" applyFill="1" applyBorder="1" applyAlignment="1">
      <alignment horizontal="center"/>
    </xf>
    <xf numFmtId="10" fontId="0" fillId="2" borderId="2" xfId="1" applyNumberFormat="1" applyFont="1" applyFill="1" applyBorder="1"/>
    <xf numFmtId="166" fontId="2" fillId="2" borderId="2" xfId="0" applyNumberFormat="1" applyFont="1" applyFill="1" applyBorder="1"/>
    <xf numFmtId="166" fontId="0" fillId="2" borderId="2" xfId="0" applyNumberFormat="1" applyFill="1" applyBorder="1"/>
    <xf numFmtId="2" fontId="0" fillId="2" borderId="2" xfId="0" applyNumberFormat="1" applyFill="1" applyBorder="1"/>
    <xf numFmtId="0" fontId="0" fillId="2" borderId="2" xfId="0" applyFill="1" applyBorder="1"/>
    <xf numFmtId="0" fontId="3" fillId="2" borderId="4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0" fillId="2" borderId="0" xfId="0" applyFill="1" applyBorder="1" applyAlignment="1">
      <alignment vertical="top" wrapText="1"/>
    </xf>
    <xf numFmtId="0" fontId="0" fillId="2" borderId="4" xfId="0" applyFill="1" applyBorder="1" applyAlignment="1">
      <alignment horizontal="center"/>
    </xf>
    <xf numFmtId="10" fontId="0" fillId="2" borderId="0" xfId="1" applyNumberFormat="1" applyFont="1" applyFill="1" applyBorder="1"/>
    <xf numFmtId="166" fontId="2" fillId="2" borderId="0" xfId="0" applyNumberFormat="1" applyFont="1" applyFill="1" applyBorder="1"/>
    <xf numFmtId="166" fontId="0" fillId="2" borderId="0" xfId="0" applyNumberFormat="1" applyFill="1" applyBorder="1"/>
    <xf numFmtId="0" fontId="3" fillId="2" borderId="4" xfId="0" applyFont="1" applyFill="1" applyBorder="1"/>
    <xf numFmtId="0" fontId="2" fillId="2" borderId="0" xfId="0" applyFont="1" applyFill="1" applyBorder="1" applyAlignment="1">
      <alignment horizontal="center"/>
    </xf>
    <xf numFmtId="167" fontId="2" fillId="2" borderId="0" xfId="0" applyNumberFormat="1" applyFont="1" applyFill="1" applyBorder="1"/>
    <xf numFmtId="167" fontId="0" fillId="2" borderId="0" xfId="0" applyNumberFormat="1" applyFill="1" applyBorder="1"/>
    <xf numFmtId="10" fontId="3" fillId="2" borderId="0" xfId="1" applyNumberFormat="1" applyFont="1" applyFill="1" applyBorder="1"/>
    <xf numFmtId="0" fontId="4" fillId="3" borderId="0" xfId="0" applyFont="1" applyFill="1"/>
    <xf numFmtId="0" fontId="3" fillId="3" borderId="0" xfId="0" applyFont="1" applyFill="1"/>
    <xf numFmtId="2" fontId="0" fillId="3" borderId="0" xfId="0" applyNumberFormat="1" applyFill="1"/>
    <xf numFmtId="164" fontId="0" fillId="3" borderId="0" xfId="0" applyNumberFormat="1" applyFill="1"/>
    <xf numFmtId="1" fontId="0" fillId="3" borderId="0" xfId="0" applyNumberFormat="1" applyFill="1"/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horizontal="center"/>
    </xf>
    <xf numFmtId="10" fontId="0" fillId="3" borderId="0" xfId="1" applyNumberFormat="1" applyFont="1" applyFill="1"/>
    <xf numFmtId="166" fontId="2" fillId="3" borderId="0" xfId="0" applyNumberFormat="1" applyFont="1" applyFill="1"/>
    <xf numFmtId="166" fontId="0" fillId="3" borderId="0" xfId="0" applyNumberFormat="1" applyFill="1"/>
    <xf numFmtId="0" fontId="2" fillId="3" borderId="0" xfId="0" applyFont="1" applyFill="1" applyAlignment="1">
      <alignment horizontal="center"/>
    </xf>
    <xf numFmtId="167" fontId="2" fillId="3" borderId="0" xfId="0" applyNumberFormat="1" applyFont="1" applyFill="1"/>
    <xf numFmtId="167" fontId="0" fillId="3" borderId="0" xfId="0" applyNumberFormat="1" applyFill="1"/>
    <xf numFmtId="10" fontId="3" fillId="3" borderId="0" xfId="1" applyNumberFormat="1" applyFont="1" applyFill="1"/>
    <xf numFmtId="0" fontId="3" fillId="2" borderId="4" xfId="0" applyFont="1" applyFill="1" applyBorder="1" applyAlignment="1">
      <alignment horizontal="left" indent="2"/>
    </xf>
    <xf numFmtId="0" fontId="0" fillId="2" borderId="4" xfId="0" applyFill="1" applyBorder="1" applyAlignment="1">
      <alignment horizontal="left" indent="2"/>
    </xf>
    <xf numFmtId="0" fontId="7" fillId="2" borderId="0" xfId="0" applyFont="1" applyFill="1" applyBorder="1"/>
    <xf numFmtId="164" fontId="0" fillId="3" borderId="0" xfId="0" applyNumberFormat="1" applyFill="1" applyAlignment="1">
      <alignment horizontal="left"/>
    </xf>
    <xf numFmtId="2" fontId="0" fillId="3" borderId="0" xfId="0" applyNumberFormat="1" applyFill="1" applyAlignment="1">
      <alignment horizontal="left"/>
    </xf>
    <xf numFmtId="2" fontId="7" fillId="2" borderId="0" xfId="1" applyNumberFormat="1" applyFont="1" applyFill="1" applyBorder="1" applyAlignment="1">
      <alignment horizontal="right"/>
    </xf>
    <xf numFmtId="10" fontId="7" fillId="2" borderId="5" xfId="1" applyNumberFormat="1" applyFont="1" applyFill="1" applyBorder="1" applyAlignment="1">
      <alignment horizontal="left"/>
    </xf>
    <xf numFmtId="0" fontId="0" fillId="2" borderId="0" xfId="0" applyFill="1" applyBorder="1" applyAlignment="1">
      <alignment horizontal="right"/>
    </xf>
    <xf numFmtId="0" fontId="8" fillId="2" borderId="1" xfId="0" applyFont="1" applyFill="1" applyBorder="1" applyAlignment="1">
      <alignment horizontal="left" indent="2"/>
    </xf>
    <xf numFmtId="0" fontId="0" fillId="3" borderId="0" xfId="0" applyFont="1" applyFill="1"/>
    <xf numFmtId="0" fontId="0" fillId="2" borderId="3" xfId="0" applyFont="1" applyFill="1" applyBorder="1"/>
    <xf numFmtId="0" fontId="0" fillId="2" borderId="5" xfId="0" applyFont="1" applyFill="1" applyBorder="1" applyAlignment="1">
      <alignment vertical="top" wrapText="1"/>
    </xf>
    <xf numFmtId="0" fontId="0" fillId="2" borderId="5" xfId="0" applyFont="1" applyFill="1" applyBorder="1"/>
    <xf numFmtId="0" fontId="0" fillId="2" borderId="8" xfId="0" applyFont="1" applyFill="1" applyBorder="1"/>
    <xf numFmtId="167" fontId="2" fillId="2" borderId="5" xfId="0" applyNumberFormat="1" applyFont="1" applyFill="1" applyBorder="1"/>
    <xf numFmtId="167" fontId="7" fillId="2" borderId="5" xfId="0" applyNumberFormat="1" applyFont="1" applyFill="1" applyBorder="1"/>
    <xf numFmtId="10" fontId="9" fillId="2" borderId="5" xfId="1" applyNumberFormat="1" applyFont="1" applyFill="1" applyBorder="1"/>
    <xf numFmtId="0" fontId="3" fillId="2" borderId="5" xfId="0" applyFont="1" applyFill="1" applyBorder="1" applyAlignment="1">
      <alignment horizontal="center"/>
    </xf>
    <xf numFmtId="2" fontId="2" fillId="2" borderId="0" xfId="0" applyNumberFormat="1" applyFont="1" applyFill="1" applyBorder="1"/>
    <xf numFmtId="0" fontId="0" fillId="3" borderId="0" xfId="0" applyFont="1" applyFill="1" applyBorder="1" applyAlignment="1">
      <alignment horizontal="center" vertical="top"/>
    </xf>
    <xf numFmtId="2" fontId="7" fillId="2" borderId="0" xfId="1" applyNumberFormat="1" applyFont="1" applyFill="1" applyBorder="1"/>
    <xf numFmtId="2" fontId="7" fillId="2" borderId="0" xfId="0" applyNumberFormat="1" applyFont="1" applyFill="1" applyBorder="1"/>
    <xf numFmtId="2" fontId="2" fillId="2" borderId="0" xfId="1" applyNumberFormat="1" applyFont="1" applyFill="1" applyBorder="1"/>
    <xf numFmtId="0" fontId="8" fillId="3" borderId="0" xfId="0" applyFont="1" applyFill="1" applyBorder="1" applyAlignment="1">
      <alignment horizontal="left" indent="2"/>
    </xf>
    <xf numFmtId="0" fontId="5" fillId="3" borderId="0" xfId="0" applyFont="1" applyFill="1" applyBorder="1"/>
    <xf numFmtId="0" fontId="4" fillId="3" borderId="0" xfId="0" applyFont="1" applyFill="1" applyBorder="1"/>
    <xf numFmtId="0" fontId="0" fillId="3" borderId="0" xfId="0" applyFill="1" applyBorder="1"/>
    <xf numFmtId="0" fontId="3" fillId="3" borderId="0" xfId="0" applyFont="1" applyFill="1" applyBorder="1" applyAlignment="1">
      <alignment horizontal="left" indent="2"/>
    </xf>
    <xf numFmtId="0" fontId="3" fillId="3" borderId="0" xfId="0" applyFont="1" applyFill="1" applyBorder="1"/>
    <xf numFmtId="0" fontId="0" fillId="3" borderId="0" xfId="0" applyFill="1" applyBorder="1" applyAlignment="1">
      <alignment horizontal="left" indent="2"/>
    </xf>
    <xf numFmtId="2" fontId="2" fillId="3" borderId="0" xfId="1" applyNumberFormat="1" applyFont="1" applyFill="1" applyBorder="1"/>
    <xf numFmtId="0" fontId="7" fillId="3" borderId="0" xfId="0" applyNumberFormat="1" applyFont="1" applyFill="1" applyBorder="1"/>
    <xf numFmtId="2" fontId="7" fillId="3" borderId="0" xfId="1" applyNumberFormat="1" applyFont="1" applyFill="1" applyBorder="1"/>
    <xf numFmtId="166" fontId="2" fillId="3" borderId="0" xfId="1" applyNumberFormat="1" applyFont="1" applyFill="1" applyBorder="1"/>
    <xf numFmtId="164" fontId="0" fillId="3" borderId="0" xfId="1" applyNumberFormat="1" applyFont="1" applyFill="1" applyBorder="1" applyAlignment="1">
      <alignment horizontal="center"/>
    </xf>
    <xf numFmtId="2" fontId="7" fillId="3" borderId="0" xfId="1" applyNumberFormat="1" applyFont="1" applyFill="1" applyBorder="1" applyAlignment="1">
      <alignment horizontal="right"/>
    </xf>
    <xf numFmtId="10" fontId="7" fillId="3" borderId="0" xfId="1" applyNumberFormat="1" applyFont="1" applyFill="1" applyBorder="1" applyAlignment="1">
      <alignment horizontal="left"/>
    </xf>
    <xf numFmtId="2" fontId="7" fillId="3" borderId="0" xfId="0" applyNumberFormat="1" applyFont="1" applyFill="1" applyBorder="1"/>
    <xf numFmtId="2" fontId="0" fillId="3" borderId="0" xfId="0" applyNumberFormat="1" applyFill="1" applyBorder="1"/>
    <xf numFmtId="164" fontId="0" fillId="3" borderId="0" xfId="0" applyNumberFormat="1" applyFill="1" applyBorder="1"/>
    <xf numFmtId="0" fontId="7" fillId="3" borderId="0" xfId="0" applyFont="1" applyFill="1" applyBorder="1"/>
    <xf numFmtId="0" fontId="0" fillId="3" borderId="0" xfId="0" applyFill="1" applyBorder="1" applyAlignment="1">
      <alignment horizontal="right"/>
    </xf>
    <xf numFmtId="1" fontId="0" fillId="3" borderId="0" xfId="0" applyNumberFormat="1" applyFill="1" applyBorder="1"/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167" fontId="2" fillId="4" borderId="10" xfId="0" applyNumberFormat="1" applyFont="1" applyFill="1" applyBorder="1" applyAlignment="1">
      <alignment horizontal="right" indent="1"/>
    </xf>
    <xf numFmtId="167" fontId="7" fillId="4" borderId="10" xfId="0" applyNumberFormat="1" applyFont="1" applyFill="1" applyBorder="1" applyAlignment="1">
      <alignment horizontal="right" indent="1"/>
    </xf>
    <xf numFmtId="10" fontId="9" fillId="4" borderId="11" xfId="1" applyNumberFormat="1" applyFont="1" applyFill="1" applyBorder="1" applyAlignment="1">
      <alignment horizontal="right" indent="1"/>
    </xf>
    <xf numFmtId="0" fontId="0" fillId="3" borderId="0" xfId="0" applyFill="1" applyAlignment="1"/>
    <xf numFmtId="0" fontId="10" fillId="3" borderId="0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/>
    </xf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2" fillId="3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right"/>
    </xf>
    <xf numFmtId="1" fontId="3" fillId="2" borderId="0" xfId="0" applyNumberFormat="1" applyFont="1" applyFill="1" applyBorder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9758698125203"/>
          <c:y val="0.15521677107318096"/>
          <c:w val="0.6445965034854092"/>
          <c:h val="0.75161315260252759"/>
        </c:manualLayout>
      </c:layout>
      <c:scatterChart>
        <c:scatterStyle val="smoothMarker"/>
        <c:varyColors val="0"/>
        <c:ser>
          <c:idx val="0"/>
          <c:order val="0"/>
          <c:tx>
            <c:v>Proctor ohne Additiv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bg2">
                    <a:lumMod val="75000"/>
                  </a:schemeClr>
                </a:solidFill>
                <a:prstDash val="solid"/>
              </a:ln>
              <a:effectLst/>
            </c:spPr>
            <c:trendlineType val="poly"/>
            <c:order val="6"/>
            <c:intercept val="0"/>
            <c:dispRSqr val="0"/>
            <c:dispEq val="0"/>
          </c:trendline>
          <c:xVal>
            <c:numRef>
              <c:f>'Additiv Techsoil'!$E$12:$E$17</c:f>
              <c:numCache>
                <c:formatCode>0.00%</c:formatCode>
                <c:ptCount val="6"/>
                <c:pt idx="0">
                  <c:v>0.11085591792987283</c:v>
                </c:pt>
                <c:pt idx="1">
                  <c:v>0.11458629513790185</c:v>
                </c:pt>
                <c:pt idx="2">
                  <c:v>0.12344720496894417</c:v>
                </c:pt>
                <c:pt idx="3">
                  <c:v>0.13891349276646017</c:v>
                </c:pt>
                <c:pt idx="4">
                  <c:v>0.15350488021295458</c:v>
                </c:pt>
                <c:pt idx="5">
                  <c:v>0.18083670715249661</c:v>
                </c:pt>
              </c:numCache>
            </c:numRef>
          </c:xVal>
          <c:yVal>
            <c:numRef>
              <c:f>'Additiv Techsoil'!$I$12:$I$17</c:f>
              <c:numCache>
                <c:formatCode>0.00</c:formatCode>
                <c:ptCount val="6"/>
                <c:pt idx="0">
                  <c:v>1.7078568370581548</c:v>
                </c:pt>
                <c:pt idx="1">
                  <c:v>1.7240364074963104</c:v>
                </c:pt>
                <c:pt idx="2">
                  <c:v>1.7416060706954035</c:v>
                </c:pt>
                <c:pt idx="3">
                  <c:v>1.7766490016317213</c:v>
                </c:pt>
                <c:pt idx="4">
                  <c:v>1.7845304994755897</c:v>
                </c:pt>
                <c:pt idx="5">
                  <c:v>1.6973984220458835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8F-4EA6-8F41-DBD10170603C}"/>
            </c:ext>
          </c:extLst>
        </c:ser>
        <c:ser>
          <c:idx val="4"/>
          <c:order val="1"/>
          <c:tx>
            <c:v>mit Additiv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5"/>
                </a:solidFill>
                <a:prstDash val="solid"/>
              </a:ln>
              <a:effectLst/>
            </c:spPr>
            <c:trendlineType val="poly"/>
            <c:order val="6"/>
            <c:intercept val="0"/>
            <c:dispRSqr val="0"/>
            <c:dispEq val="0"/>
          </c:trendline>
          <c:xVal>
            <c:numRef>
              <c:f>'Additiv Techsoil'!$E$31:$E$37</c:f>
              <c:numCache>
                <c:formatCode>0.00%</c:formatCode>
                <c:ptCount val="7"/>
                <c:pt idx="0">
                  <c:v>0.10067409144196959</c:v>
                </c:pt>
                <c:pt idx="1">
                  <c:v>0.11707317073170759</c:v>
                </c:pt>
                <c:pt idx="2">
                  <c:v>0.135023860765416</c:v>
                </c:pt>
                <c:pt idx="3">
                  <c:v>0.14810915863632676</c:v>
                </c:pt>
                <c:pt idx="4">
                  <c:v>0.16814159292035408</c:v>
                </c:pt>
                <c:pt idx="5">
                  <c:v>0.17243137588170299</c:v>
                </c:pt>
                <c:pt idx="6">
                  <c:v>0.17821515233216498</c:v>
                </c:pt>
              </c:numCache>
            </c:numRef>
          </c:xVal>
          <c:yVal>
            <c:numRef>
              <c:f>'Additiv Techsoil'!$I$31:$I$37</c:f>
              <c:numCache>
                <c:formatCode>0.00</c:formatCode>
                <c:ptCount val="7"/>
                <c:pt idx="0">
                  <c:v>1.7641439804144854</c:v>
                </c:pt>
                <c:pt idx="1">
                  <c:v>1.7952373042388585</c:v>
                </c:pt>
                <c:pt idx="2">
                  <c:v>1.8248051715904026</c:v>
                </c:pt>
                <c:pt idx="3">
                  <c:v>1.8298845489804523</c:v>
                </c:pt>
                <c:pt idx="4">
                  <c:v>1.7594454813935951</c:v>
                </c:pt>
                <c:pt idx="5">
                  <c:v>1.7412427320444679</c:v>
                </c:pt>
                <c:pt idx="6">
                  <c:v>1.7101808628928961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08F-4EA6-8F41-DBD10170603C}"/>
            </c:ext>
          </c:extLst>
        </c:ser>
        <c:ser>
          <c:idx val="2"/>
          <c:order val="2"/>
          <c:tx>
            <c:v>Sättigung</c:v>
          </c:tx>
          <c:spPr>
            <a:ln w="19050" cap="rnd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'Additiv Techsoil'!$D$50:$D$52</c:f>
              <c:numCache>
                <c:formatCode>General</c:formatCode>
                <c:ptCount val="3"/>
                <c:pt idx="0">
                  <c:v>0.16500000000000001</c:v>
                </c:pt>
                <c:pt idx="1">
                  <c:v>0.19</c:v>
                </c:pt>
                <c:pt idx="2">
                  <c:v>0.21</c:v>
                </c:pt>
              </c:numCache>
            </c:numRef>
          </c:xVal>
          <c:yVal>
            <c:numRef>
              <c:f>'Additiv Techsoil'!$E$50:$E$52</c:f>
              <c:numCache>
                <c:formatCode>0.000</c:formatCode>
                <c:ptCount val="3"/>
                <c:pt idx="0">
                  <c:v>1.843798921551574</c:v>
                </c:pt>
                <c:pt idx="1">
                  <c:v>1.7625540405719988</c:v>
                </c:pt>
                <c:pt idx="2">
                  <c:v>1.7025377449405716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ABB-4318-ACA6-A1022B1AA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143232"/>
        <c:axId val="407143560"/>
        <c:extLst/>
      </c:scatterChart>
      <c:valAx>
        <c:axId val="407143232"/>
        <c:scaling>
          <c:orientation val="minMax"/>
          <c:min val="8.0000000000000016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143560"/>
        <c:crosses val="autoZero"/>
        <c:crossBetween val="midCat"/>
        <c:majorUnit val="1.0000000000000002E-2"/>
      </c:valAx>
      <c:valAx>
        <c:axId val="407143560"/>
        <c:scaling>
          <c:orientation val="minMax"/>
          <c:max val="1.85"/>
          <c:min val="1.69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bevel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143232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65" l="0.70866141732283472" r="0.70866141732283472" t="0.78740157480314965" header="0.31496062992125984" footer="0.31496062992125984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9758698125203"/>
          <c:y val="0.15521677107318096"/>
          <c:w val="0.6445965034854092"/>
          <c:h val="0.75161315260252759"/>
        </c:manualLayout>
      </c:layout>
      <c:scatterChart>
        <c:scatterStyle val="smoothMarker"/>
        <c:varyColors val="0"/>
        <c:ser>
          <c:idx val="0"/>
          <c:order val="0"/>
          <c:tx>
            <c:v>Proctor mit Additiv und Bindemittel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5"/>
                </a:solidFill>
                <a:prstDash val="solid"/>
              </a:ln>
              <a:effectLst>
                <a:glow rad="114300">
                  <a:schemeClr val="accent1">
                    <a:alpha val="44000"/>
                  </a:schemeClr>
                </a:glow>
                <a:outerShdw blurRad="50800" dir="5400000" algn="ctr" rotWithShape="0">
                  <a:srgbClr val="000000">
                    <a:alpha val="0"/>
                  </a:srgbClr>
                </a:outerShdw>
                <a:softEdge rad="0"/>
              </a:effectLst>
            </c:spPr>
            <c:trendlineType val="poly"/>
            <c:order val="6"/>
            <c:intercept val="0"/>
            <c:dispRSqr val="0"/>
            <c:dispEq val="0"/>
          </c:trendline>
          <c:xVal>
            <c:numRef>
              <c:f>'Additiv Techsoil'!$D$80:$D$85</c:f>
              <c:numCache>
                <c:formatCode>0.00%</c:formatCode>
                <c:ptCount val="6"/>
                <c:pt idx="0">
                  <c:v>0.1198</c:v>
                </c:pt>
                <c:pt idx="1">
                  <c:v>0.13700000000000001</c:v>
                </c:pt>
                <c:pt idx="2">
                  <c:v>0.1421</c:v>
                </c:pt>
                <c:pt idx="3">
                  <c:v>0.15290000000000001</c:v>
                </c:pt>
                <c:pt idx="4">
                  <c:v>0.17249999999999999</c:v>
                </c:pt>
                <c:pt idx="5">
                  <c:v>0.19750000000000001</c:v>
                </c:pt>
              </c:numCache>
            </c:numRef>
          </c:xVal>
          <c:yVal>
            <c:numRef>
              <c:f>'Additiv Techsoil'!$E$80:$E$85</c:f>
              <c:numCache>
                <c:formatCode>0.00</c:formatCode>
                <c:ptCount val="6"/>
                <c:pt idx="0">
                  <c:v>1.73</c:v>
                </c:pt>
                <c:pt idx="1">
                  <c:v>1.758</c:v>
                </c:pt>
                <c:pt idx="2">
                  <c:v>1.7629999999999999</c:v>
                </c:pt>
                <c:pt idx="3">
                  <c:v>1.7709999999999999</c:v>
                </c:pt>
                <c:pt idx="4">
                  <c:v>1.76</c:v>
                </c:pt>
                <c:pt idx="5">
                  <c:v>1.7030000000000001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8F-4EA6-8F41-DBD10170603C}"/>
            </c:ext>
          </c:extLst>
        </c:ser>
        <c:ser>
          <c:idx val="4"/>
          <c:order val="1"/>
          <c:tx>
            <c:v>mit Additiv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accent5"/>
                </a:solidFill>
                <a:prstDash val="solid"/>
              </a:ln>
              <a:effectLst/>
            </c:spPr>
            <c:trendlineType val="poly"/>
            <c:order val="6"/>
            <c:intercept val="0"/>
            <c:dispRSqr val="0"/>
            <c:dispEq val="0"/>
          </c:trendline>
          <c:xVal>
            <c:numRef>
              <c:f>'Additiv Techsoil'!$E$31:$E$37</c:f>
              <c:numCache>
                <c:formatCode>0.00%</c:formatCode>
                <c:ptCount val="7"/>
                <c:pt idx="0">
                  <c:v>0.10067409144196959</c:v>
                </c:pt>
                <c:pt idx="1">
                  <c:v>0.11707317073170759</c:v>
                </c:pt>
                <c:pt idx="2">
                  <c:v>0.135023860765416</c:v>
                </c:pt>
                <c:pt idx="3">
                  <c:v>0.14810915863632676</c:v>
                </c:pt>
                <c:pt idx="4">
                  <c:v>0.16814159292035408</c:v>
                </c:pt>
                <c:pt idx="5">
                  <c:v>0.17243137588170299</c:v>
                </c:pt>
                <c:pt idx="6">
                  <c:v>0.17821515233216498</c:v>
                </c:pt>
              </c:numCache>
            </c:numRef>
          </c:xVal>
          <c:yVal>
            <c:numRef>
              <c:f>'Additiv Techsoil'!$I$31:$I$37</c:f>
              <c:numCache>
                <c:formatCode>0.00</c:formatCode>
                <c:ptCount val="7"/>
                <c:pt idx="0">
                  <c:v>1.7641439804144854</c:v>
                </c:pt>
                <c:pt idx="1">
                  <c:v>1.7952373042388585</c:v>
                </c:pt>
                <c:pt idx="2">
                  <c:v>1.8248051715904026</c:v>
                </c:pt>
                <c:pt idx="3">
                  <c:v>1.8298845489804523</c:v>
                </c:pt>
                <c:pt idx="4">
                  <c:v>1.7594454813935951</c:v>
                </c:pt>
                <c:pt idx="5">
                  <c:v>1.7412427320444679</c:v>
                </c:pt>
                <c:pt idx="6">
                  <c:v>1.7101808628928961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08F-4EA6-8F41-DBD10170603C}"/>
            </c:ext>
          </c:extLst>
        </c:ser>
        <c:ser>
          <c:idx val="2"/>
          <c:order val="2"/>
          <c:tx>
            <c:v>Sättigung</c:v>
          </c:tx>
          <c:spPr>
            <a:ln w="19050" cap="rnd">
              <a:solidFill>
                <a:schemeClr val="bg2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'Additiv Techsoil'!$D$50:$D$52</c:f>
              <c:numCache>
                <c:formatCode>General</c:formatCode>
                <c:ptCount val="3"/>
                <c:pt idx="0">
                  <c:v>0.16500000000000001</c:v>
                </c:pt>
                <c:pt idx="1">
                  <c:v>0.19</c:v>
                </c:pt>
                <c:pt idx="2">
                  <c:v>0.21</c:v>
                </c:pt>
              </c:numCache>
            </c:numRef>
          </c:xVal>
          <c:yVal>
            <c:numRef>
              <c:f>'Additiv Techsoil'!$E$50:$E$52</c:f>
              <c:numCache>
                <c:formatCode>0.000</c:formatCode>
                <c:ptCount val="3"/>
                <c:pt idx="0">
                  <c:v>1.843798921551574</c:v>
                </c:pt>
                <c:pt idx="1">
                  <c:v>1.7625540405719988</c:v>
                </c:pt>
                <c:pt idx="2">
                  <c:v>1.7025377449405716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ABB-4318-ACA6-A1022B1AA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7143232"/>
        <c:axId val="407143560"/>
        <c:extLst/>
      </c:scatterChart>
      <c:valAx>
        <c:axId val="407143232"/>
        <c:scaling>
          <c:orientation val="minMax"/>
          <c:min val="8.0000000000000016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143560"/>
        <c:crosses val="autoZero"/>
        <c:crossBetween val="midCat"/>
        <c:majorUnit val="1.0000000000000002E-2"/>
      </c:valAx>
      <c:valAx>
        <c:axId val="407143560"/>
        <c:scaling>
          <c:orientation val="minMax"/>
          <c:max val="1.85"/>
          <c:min val="1.69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bevel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143232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80314965" l="0.70866141732283472" r="0.70866141732283472" t="0.78740157480314965" header="0.31496062992125984" footer="0.31496062992125984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142875</xdr:colOff>
      <xdr:row>15</xdr:row>
      <xdr:rowOff>154781</xdr:rowOff>
    </xdr:from>
    <xdr:to>
      <xdr:col>25</xdr:col>
      <xdr:colOff>500062</xdr:colOff>
      <xdr:row>48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465A6760-EF72-4963-8D2B-45DDF9C8B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23813</xdr:colOff>
      <xdr:row>16</xdr:row>
      <xdr:rowOff>142876</xdr:rowOff>
    </xdr:from>
    <xdr:to>
      <xdr:col>24</xdr:col>
      <xdr:colOff>23813</xdr:colOff>
      <xdr:row>19</xdr:row>
      <xdr:rowOff>130969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F049465-B6F6-4908-A2BB-09E3E8C5BDB1}"/>
            </a:ext>
          </a:extLst>
        </xdr:cNvPr>
        <xdr:cNvSpPr txBox="1"/>
      </xdr:nvSpPr>
      <xdr:spPr>
        <a:xfrm>
          <a:off x="10989469" y="3190876"/>
          <a:ext cx="4857750" cy="559593"/>
        </a:xfrm>
        <a:prstGeom prst="rect">
          <a:avLst/>
        </a:prstGeom>
        <a:noFill/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>
              <a:solidFill>
                <a:schemeClr val="tx1">
                  <a:lumMod val="50000"/>
                  <a:lumOff val="50000"/>
                </a:schemeClr>
              </a:solidFill>
            </a:rPr>
            <a:t>Vergleich des Proctorwassergehalts mit der Trockendiche bei TL/UL Böden</a:t>
          </a:r>
        </a:p>
      </xdr:txBody>
    </xdr:sp>
    <xdr:clientData/>
  </xdr:twoCellAnchor>
  <xdr:twoCellAnchor>
    <xdr:from>
      <xdr:col>17</xdr:col>
      <xdr:colOff>377597</xdr:colOff>
      <xdr:row>24</xdr:row>
      <xdr:rowOff>149678</xdr:rowOff>
    </xdr:from>
    <xdr:to>
      <xdr:col>19</xdr:col>
      <xdr:colOff>367393</xdr:colOff>
      <xdr:row>27</xdr:row>
      <xdr:rowOff>108856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2F52ECB1-B0AE-4DE2-A4EA-11D31CD20117}"/>
            </a:ext>
          </a:extLst>
        </xdr:cNvPr>
        <xdr:cNvSpPr txBox="1"/>
      </xdr:nvSpPr>
      <xdr:spPr>
        <a:xfrm>
          <a:off x="13535704" y="5089071"/>
          <a:ext cx="1214439" cy="544285"/>
        </a:xfrm>
        <a:prstGeom prst="rect">
          <a:avLst/>
        </a:prstGeom>
        <a:noFill/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>
              <a:solidFill>
                <a:schemeClr val="accent5"/>
              </a:solidFill>
            </a:rPr>
            <a:t>Boden </a:t>
          </a:r>
        </a:p>
        <a:p>
          <a:r>
            <a:rPr lang="de-DE" sz="1400" b="1">
              <a:solidFill>
                <a:schemeClr val="accent5"/>
              </a:solidFill>
            </a:rPr>
            <a:t>mit Additiv</a:t>
          </a:r>
        </a:p>
      </xdr:txBody>
    </xdr:sp>
    <xdr:clientData/>
  </xdr:twoCellAnchor>
  <xdr:twoCellAnchor>
    <xdr:from>
      <xdr:col>16</xdr:col>
      <xdr:colOff>602118</xdr:colOff>
      <xdr:row>37</xdr:row>
      <xdr:rowOff>51027</xdr:rowOff>
    </xdr:from>
    <xdr:to>
      <xdr:col>18</xdr:col>
      <xdr:colOff>590209</xdr:colOff>
      <xdr:row>40</xdr:row>
      <xdr:rowOff>110556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E8BABF2-E99D-418A-87DE-30BC6F08415F}"/>
            </a:ext>
          </a:extLst>
        </xdr:cNvPr>
        <xdr:cNvSpPr txBox="1"/>
      </xdr:nvSpPr>
      <xdr:spPr>
        <a:xfrm>
          <a:off x="13147904" y="7875134"/>
          <a:ext cx="1212734" cy="617422"/>
        </a:xfrm>
        <a:prstGeom prst="rect">
          <a:avLst/>
        </a:prstGeom>
        <a:noFill/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>
              <a:solidFill>
                <a:schemeClr val="tx1">
                  <a:lumMod val="50000"/>
                  <a:lumOff val="50000"/>
                </a:schemeClr>
              </a:solidFill>
            </a:rPr>
            <a:t>Boden</a:t>
          </a:r>
        </a:p>
        <a:p>
          <a:r>
            <a:rPr lang="de-DE" sz="1400" b="1">
              <a:solidFill>
                <a:schemeClr val="tx1">
                  <a:lumMod val="50000"/>
                  <a:lumOff val="50000"/>
                </a:schemeClr>
              </a:solidFill>
            </a:rPr>
            <a:t>ohne Additiv</a:t>
          </a:r>
        </a:p>
      </xdr:txBody>
    </xdr:sp>
    <xdr:clientData/>
  </xdr:twoCellAnchor>
  <xdr:twoCellAnchor>
    <xdr:from>
      <xdr:col>15</xdr:col>
      <xdr:colOff>559593</xdr:colOff>
      <xdr:row>30</xdr:row>
      <xdr:rowOff>11905</xdr:rowOff>
    </xdr:from>
    <xdr:to>
      <xdr:col>16</xdr:col>
      <xdr:colOff>238125</xdr:colOff>
      <xdr:row>44</xdr:row>
      <xdr:rowOff>35718</xdr:rowOff>
    </xdr:to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14E64185-A0B3-4434-A364-666B2867C611}"/>
            </a:ext>
          </a:extLst>
        </xdr:cNvPr>
        <xdr:cNvSpPr txBox="1"/>
      </xdr:nvSpPr>
      <xdr:spPr>
        <a:xfrm rot="16200000">
          <a:off x="9721452" y="7292578"/>
          <a:ext cx="2678907" cy="285750"/>
        </a:xfrm>
        <a:prstGeom prst="rect">
          <a:avLst/>
        </a:prstGeom>
        <a:noFill/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0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Trockendichte    g/cm</a:t>
          </a:r>
          <a:r>
            <a:rPr lang="de-DE" sz="1000" b="0" baseline="30000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   </a:t>
          </a:r>
          <a:r>
            <a:rPr lang="de-DE" sz="1000" b="0" baseline="0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----&gt;</a:t>
          </a:r>
        </a:p>
      </xdr:txBody>
    </xdr:sp>
    <xdr:clientData/>
  </xdr:twoCellAnchor>
  <xdr:twoCellAnchor>
    <xdr:from>
      <xdr:col>17</xdr:col>
      <xdr:colOff>297656</xdr:colOff>
      <xdr:row>46</xdr:row>
      <xdr:rowOff>119061</xdr:rowOff>
    </xdr:from>
    <xdr:to>
      <xdr:col>21</xdr:col>
      <xdr:colOff>130967</xdr:colOff>
      <xdr:row>48</xdr:row>
      <xdr:rowOff>23811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D6460F9C-C1DB-4D99-828E-8CC37C83AAB0}"/>
            </a:ext>
          </a:extLst>
        </xdr:cNvPr>
        <xdr:cNvSpPr txBox="1"/>
      </xdr:nvSpPr>
      <xdr:spPr>
        <a:xfrm>
          <a:off x="11870531" y="9239249"/>
          <a:ext cx="2262186" cy="285750"/>
        </a:xfrm>
        <a:prstGeom prst="rect">
          <a:avLst/>
        </a:prstGeom>
        <a:noFill/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0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Proctorwassergehalt in %  ---&gt;</a:t>
          </a:r>
          <a:endParaRPr lang="de-DE" sz="1000" b="0" baseline="30000">
            <a:solidFill>
              <a:schemeClr val="bg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157334</xdr:colOff>
      <xdr:row>26</xdr:row>
      <xdr:rowOff>128419</xdr:rowOff>
    </xdr:from>
    <xdr:to>
      <xdr:col>22</xdr:col>
      <xdr:colOff>443084</xdr:colOff>
      <xdr:row>32</xdr:row>
      <xdr:rowOff>164137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D86994DF-196C-4591-972A-9D1E23E048C1}"/>
            </a:ext>
          </a:extLst>
        </xdr:cNvPr>
        <xdr:cNvSpPr txBox="1"/>
      </xdr:nvSpPr>
      <xdr:spPr>
        <a:xfrm rot="4349661">
          <a:off x="15726457" y="6099403"/>
          <a:ext cx="1586932" cy="285750"/>
        </a:xfrm>
        <a:prstGeom prst="rect">
          <a:avLst/>
        </a:prstGeom>
        <a:noFill/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>
              <a:solidFill>
                <a:schemeClr val="bg2">
                  <a:lumMod val="75000"/>
                </a:schemeClr>
              </a:solidFill>
            </a:rPr>
            <a:t>Sättigungslinie</a:t>
          </a:r>
        </a:p>
      </xdr:txBody>
    </xdr:sp>
    <xdr:clientData/>
  </xdr:twoCellAnchor>
  <xdr:twoCellAnchor>
    <xdr:from>
      <xdr:col>15</xdr:col>
      <xdr:colOff>190500</xdr:colOff>
      <xdr:row>52</xdr:row>
      <xdr:rowOff>76200</xdr:rowOff>
    </xdr:from>
    <xdr:to>
      <xdr:col>25</xdr:col>
      <xdr:colOff>493569</xdr:colOff>
      <xdr:row>84</xdr:row>
      <xdr:rowOff>14288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C1ACBD78-A64F-4583-B049-B04F5C2C2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291872</xdr:colOff>
      <xdr:row>57</xdr:row>
      <xdr:rowOff>149678</xdr:rowOff>
    </xdr:from>
    <xdr:to>
      <xdr:col>19</xdr:col>
      <xdr:colOff>281668</xdr:colOff>
      <xdr:row>60</xdr:row>
      <xdr:rowOff>137431</xdr:rowOff>
    </xdr:to>
    <xdr:sp macro="" textlink="">
      <xdr:nvSpPr>
        <xdr:cNvPr id="10" name="Textfeld 9">
          <a:extLst>
            <a:ext uri="{FF2B5EF4-FFF2-40B4-BE49-F238E27FC236}">
              <a16:creationId xmlns:a16="http://schemas.microsoft.com/office/drawing/2014/main" id="{DFF7DDF7-AD0F-4C7D-92B5-F6A7D40BE77C}"/>
            </a:ext>
          </a:extLst>
        </xdr:cNvPr>
        <xdr:cNvSpPr txBox="1"/>
      </xdr:nvSpPr>
      <xdr:spPr>
        <a:xfrm>
          <a:off x="14788922" y="12132128"/>
          <a:ext cx="1208996" cy="559253"/>
        </a:xfrm>
        <a:prstGeom prst="rect">
          <a:avLst/>
        </a:prstGeom>
        <a:noFill/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>
              <a:solidFill>
                <a:schemeClr val="accent5"/>
              </a:solidFill>
            </a:rPr>
            <a:t>Boden </a:t>
          </a:r>
        </a:p>
        <a:p>
          <a:r>
            <a:rPr lang="de-DE" sz="1400" b="1">
              <a:solidFill>
                <a:schemeClr val="accent5"/>
              </a:solidFill>
            </a:rPr>
            <a:t>mit Additiv</a:t>
          </a:r>
        </a:p>
      </xdr:txBody>
    </xdr:sp>
    <xdr:clientData/>
  </xdr:twoCellAnchor>
  <xdr:twoCellAnchor>
    <xdr:from>
      <xdr:col>17</xdr:col>
      <xdr:colOff>271680</xdr:colOff>
      <xdr:row>82</xdr:row>
      <xdr:rowOff>15152</xdr:rowOff>
    </xdr:from>
    <xdr:to>
      <xdr:col>21</xdr:col>
      <xdr:colOff>104991</xdr:colOff>
      <xdr:row>83</xdr:row>
      <xdr:rowOff>127721</xdr:rowOff>
    </xdr:to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6B251F20-E440-44A4-B0B5-F1249A218EB3}"/>
            </a:ext>
          </a:extLst>
        </xdr:cNvPr>
        <xdr:cNvSpPr txBox="1"/>
      </xdr:nvSpPr>
      <xdr:spPr>
        <a:xfrm>
          <a:off x="14706385" y="16883061"/>
          <a:ext cx="2257856" cy="303069"/>
        </a:xfrm>
        <a:prstGeom prst="rect">
          <a:avLst/>
        </a:prstGeom>
        <a:noFill/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0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Proctorwassergehalt in %  ---&gt;</a:t>
          </a:r>
          <a:endParaRPr lang="de-DE" sz="1000" b="0" baseline="30000">
            <a:solidFill>
              <a:schemeClr val="bg2">
                <a:lumMod val="50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14071</xdr:colOff>
      <xdr:row>66</xdr:row>
      <xdr:rowOff>46541</xdr:rowOff>
    </xdr:from>
    <xdr:to>
      <xdr:col>16</xdr:col>
      <xdr:colOff>298739</xdr:colOff>
      <xdr:row>79</xdr:row>
      <xdr:rowOff>35718</xdr:rowOff>
    </xdr:to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88122FC4-07A8-45C6-B07F-6B67A5A5CE1C}"/>
            </a:ext>
          </a:extLst>
        </xdr:cNvPr>
        <xdr:cNvSpPr txBox="1"/>
      </xdr:nvSpPr>
      <xdr:spPr>
        <a:xfrm rot="16200000">
          <a:off x="12643896" y="14848716"/>
          <a:ext cx="2682154" cy="284668"/>
        </a:xfrm>
        <a:prstGeom prst="rect">
          <a:avLst/>
        </a:prstGeom>
        <a:noFill/>
        <a:ln w="9525" cmpd="sng">
          <a:noFill/>
        </a:ln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0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Trockendichte    g/cm</a:t>
          </a:r>
          <a:r>
            <a:rPr lang="de-DE" sz="1000" b="0" baseline="30000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3   </a:t>
          </a:r>
          <a:r>
            <a:rPr lang="de-DE" sz="1000" b="0" baseline="0">
              <a:solidFill>
                <a:schemeClr val="bg2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----&gt;</a:t>
          </a:r>
        </a:p>
      </xdr:txBody>
    </xdr:sp>
    <xdr:clientData/>
  </xdr:twoCellAnchor>
  <xdr:twoCellAnchor>
    <xdr:from>
      <xdr:col>18</xdr:col>
      <xdr:colOff>277091</xdr:colOff>
      <xdr:row>74</xdr:row>
      <xdr:rowOff>190500</xdr:rowOff>
    </xdr:from>
    <xdr:to>
      <xdr:col>21</xdr:col>
      <xdr:colOff>51955</xdr:colOff>
      <xdr:row>77</xdr:row>
      <xdr:rowOff>216477</xdr:rowOff>
    </xdr:to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A6B89718-641E-4CF0-8321-0E2C2BBBF65A}"/>
            </a:ext>
          </a:extLst>
        </xdr:cNvPr>
        <xdr:cNvSpPr txBox="1"/>
      </xdr:nvSpPr>
      <xdr:spPr>
        <a:xfrm>
          <a:off x="15317932" y="15473795"/>
          <a:ext cx="1593273" cy="606137"/>
        </a:xfrm>
        <a:prstGeom prst="rect">
          <a:avLst/>
        </a:prstGeom>
        <a:noFill/>
        <a:ln w="9525" cmpd="sng">
          <a:noFill/>
        </a:ln>
        <a:effectLst>
          <a:glow>
            <a:schemeClr val="accent1"/>
          </a:glow>
          <a:outerShdw blurRad="50800" dist="50800" dir="5400000" algn="ctr" rotWithShape="0">
            <a:srgbClr val="000000">
              <a:alpha val="0"/>
            </a:srgb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400" b="1">
              <a:solidFill>
                <a:schemeClr val="accent5"/>
              </a:solidFill>
            </a:rPr>
            <a:t>Boden mit Additiv </a:t>
          </a:r>
        </a:p>
        <a:p>
          <a:r>
            <a:rPr lang="de-DE" sz="1400" b="1">
              <a:solidFill>
                <a:schemeClr val="accent5"/>
              </a:solidFill>
            </a:rPr>
            <a:t>und Bindemitteln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0.37386</cdr:x>
      <cdr:y>0.4166</cdr:y>
    </cdr:from>
    <cdr:to>
      <cdr:x>0.43986</cdr:x>
      <cdr:y>0.47389</cdr:y>
    </cdr:to>
    <cdr:cxnSp macro="">
      <cdr:nvCxnSpPr>
        <cdr:cNvPr id="3" name="Gerade Verbindung mit Pfeil 2">
          <a:extLst xmlns:a="http://schemas.openxmlformats.org/drawingml/2006/main">
            <a:ext uri="{FF2B5EF4-FFF2-40B4-BE49-F238E27FC236}">
              <a16:creationId xmlns:a16="http://schemas.microsoft.com/office/drawing/2014/main" id="{717B9C52-6863-49F0-BFBF-DB31A4BFC5FB}"/>
            </a:ext>
          </a:extLst>
        </cdr:cNvPr>
        <cdr:cNvCxnSpPr/>
      </cdr:nvCxnSpPr>
      <cdr:spPr>
        <a:xfrm xmlns:a="http://schemas.openxmlformats.org/drawingml/2006/main" flipH="1" flipV="1">
          <a:off x="2413836" y="2794627"/>
          <a:ext cx="426119" cy="384342"/>
        </a:xfrm>
        <a:prstGeom xmlns:a="http://schemas.openxmlformats.org/drawingml/2006/main" prst="straightConnector1">
          <a:avLst/>
        </a:prstGeom>
        <a:ln xmlns:a="http://schemas.openxmlformats.org/drawingml/2006/main" w="25400" cap="rnd">
          <a:solidFill>
            <a:schemeClr val="accent1">
              <a:alpha val="34000"/>
            </a:schemeClr>
          </a:solidFill>
          <a:headEnd w="med" len="lg"/>
          <a:tailEnd type="stealth" w="med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0.30657</cdr:x>
      <cdr:y>0.51748</cdr:y>
    </cdr:from>
    <cdr:to>
      <cdr:x>0.39327</cdr:x>
      <cdr:y>0.55485</cdr:y>
    </cdr:to>
    <cdr:cxnSp macro="">
      <cdr:nvCxnSpPr>
        <cdr:cNvPr id="9" name="Gerade Verbindung mit Pfeil 8">
          <a:extLst xmlns:a="http://schemas.openxmlformats.org/drawingml/2006/main">
            <a:ext uri="{FF2B5EF4-FFF2-40B4-BE49-F238E27FC236}">
              <a16:creationId xmlns:a16="http://schemas.microsoft.com/office/drawing/2014/main" id="{70B38859-2E2A-42E0-A4F9-4D6E9226D9F0}"/>
            </a:ext>
          </a:extLst>
        </cdr:cNvPr>
        <cdr:cNvCxnSpPr/>
      </cdr:nvCxnSpPr>
      <cdr:spPr>
        <a:xfrm xmlns:a="http://schemas.openxmlformats.org/drawingml/2006/main" flipH="1" flipV="1">
          <a:off x="1979363" y="3471403"/>
          <a:ext cx="559804" cy="250660"/>
        </a:xfrm>
        <a:prstGeom xmlns:a="http://schemas.openxmlformats.org/drawingml/2006/main" prst="straightConnector1">
          <a:avLst/>
        </a:prstGeom>
        <a:ln xmlns:a="http://schemas.openxmlformats.org/drawingml/2006/main" w="25400" cap="rnd">
          <a:solidFill>
            <a:schemeClr val="accent1">
              <a:alpha val="34000"/>
            </a:schemeClr>
          </a:solidFill>
          <a:headEnd w="med" len="lg"/>
          <a:tailEnd type="stealth" w="med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0.4528</cdr:x>
      <cdr:y>0.27585</cdr:y>
    </cdr:from>
    <cdr:to>
      <cdr:x>0.48644</cdr:x>
      <cdr:y>0.444</cdr:y>
    </cdr:to>
    <cdr:cxnSp macro="">
      <cdr:nvCxnSpPr>
        <cdr:cNvPr id="14" name="Gerade Verbindung mit Pfeil 13">
          <a:extLst xmlns:a="http://schemas.openxmlformats.org/drawingml/2006/main">
            <a:ext uri="{FF2B5EF4-FFF2-40B4-BE49-F238E27FC236}">
              <a16:creationId xmlns:a16="http://schemas.microsoft.com/office/drawing/2014/main" id="{2035BEE5-696A-4510-B7E6-76DBCFE7557D}"/>
            </a:ext>
          </a:extLst>
        </cdr:cNvPr>
        <cdr:cNvCxnSpPr/>
      </cdr:nvCxnSpPr>
      <cdr:spPr>
        <a:xfrm xmlns:a="http://schemas.openxmlformats.org/drawingml/2006/main" flipH="1" flipV="1">
          <a:off x="2923507" y="1850482"/>
          <a:ext cx="217237" cy="1127961"/>
        </a:xfrm>
        <a:prstGeom xmlns:a="http://schemas.openxmlformats.org/drawingml/2006/main" prst="straightConnector1">
          <a:avLst/>
        </a:prstGeom>
        <a:ln xmlns:a="http://schemas.openxmlformats.org/drawingml/2006/main" w="25400" cap="rnd">
          <a:solidFill>
            <a:schemeClr val="accent1">
              <a:alpha val="34000"/>
            </a:schemeClr>
          </a:solidFill>
          <a:headEnd w="med" len="lg"/>
          <a:tailEnd type="stealth" w="med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0.3941</cdr:x>
      <cdr:y>0.42156</cdr:y>
    </cdr:from>
    <cdr:to>
      <cdr:x>0.47232</cdr:x>
      <cdr:y>0.51121</cdr:y>
    </cdr:to>
    <cdr:cxnSp macro="">
      <cdr:nvCxnSpPr>
        <cdr:cNvPr id="7" name="Gerade Verbindung mit Pfeil 6">
          <a:extLst xmlns:a="http://schemas.openxmlformats.org/drawingml/2006/main">
            <a:ext uri="{FF2B5EF4-FFF2-40B4-BE49-F238E27FC236}">
              <a16:creationId xmlns:a16="http://schemas.microsoft.com/office/drawing/2014/main" id="{52C20A2E-5911-4EF1-A461-D7195879D51C}"/>
            </a:ext>
          </a:extLst>
        </cdr:cNvPr>
        <cdr:cNvCxnSpPr/>
      </cdr:nvCxnSpPr>
      <cdr:spPr>
        <a:xfrm xmlns:a="http://schemas.openxmlformats.org/drawingml/2006/main">
          <a:off x="2523190" y="2823396"/>
          <a:ext cx="500797" cy="600431"/>
        </a:xfrm>
        <a:prstGeom xmlns:a="http://schemas.openxmlformats.org/drawingml/2006/main" prst="straightConnector1">
          <a:avLst/>
        </a:prstGeom>
        <a:ln xmlns:a="http://schemas.openxmlformats.org/drawingml/2006/main" w="25400" cap="rnd">
          <a:solidFill>
            <a:schemeClr val="accent5">
              <a:alpha val="35000"/>
            </a:schemeClr>
          </a:solidFill>
          <a:miter lim="800000"/>
          <a:headEnd w="lg" len="lg"/>
          <a:tailEnd type="stealth" w="med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0.34391</cdr:x>
      <cdr:y>0.49413</cdr:y>
    </cdr:from>
    <cdr:to>
      <cdr:x>0.41624</cdr:x>
      <cdr:y>0.55959</cdr:y>
    </cdr:to>
    <cdr:cxnSp macro="">
      <cdr:nvCxnSpPr>
        <cdr:cNvPr id="13" name="Gerade Verbindung mit Pfeil 12">
          <a:extLst xmlns:a="http://schemas.openxmlformats.org/drawingml/2006/main">
            <a:ext uri="{FF2B5EF4-FFF2-40B4-BE49-F238E27FC236}">
              <a16:creationId xmlns:a16="http://schemas.microsoft.com/office/drawing/2014/main" id="{D18A9A3C-39E0-450D-B27D-DDB7FBA65A90}"/>
            </a:ext>
          </a:extLst>
        </cdr:cNvPr>
        <cdr:cNvCxnSpPr/>
      </cdr:nvCxnSpPr>
      <cdr:spPr>
        <a:xfrm xmlns:a="http://schemas.openxmlformats.org/drawingml/2006/main">
          <a:off x="2219325" y="3307556"/>
          <a:ext cx="466725" cy="438150"/>
        </a:xfrm>
        <a:prstGeom xmlns:a="http://schemas.openxmlformats.org/drawingml/2006/main" prst="straightConnector1">
          <a:avLst/>
        </a:prstGeom>
        <a:ln xmlns:a="http://schemas.openxmlformats.org/drawingml/2006/main" w="25400" cap="rnd">
          <a:solidFill>
            <a:schemeClr val="accent5">
              <a:alpha val="35000"/>
            </a:schemeClr>
          </a:solidFill>
          <a:miter lim="800000"/>
          <a:headEnd w="lg" len="lg"/>
          <a:tailEnd type="stealth" w="med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0.30701</cdr:x>
      <cdr:y>0.56386</cdr:y>
    </cdr:from>
    <cdr:to>
      <cdr:x>0.37491</cdr:x>
      <cdr:y>0.61081</cdr:y>
    </cdr:to>
    <cdr:cxnSp macro="">
      <cdr:nvCxnSpPr>
        <cdr:cNvPr id="14" name="Gerade Verbindung mit Pfeil 13">
          <a:extLst xmlns:a="http://schemas.openxmlformats.org/drawingml/2006/main">
            <a:ext uri="{FF2B5EF4-FFF2-40B4-BE49-F238E27FC236}">
              <a16:creationId xmlns:a16="http://schemas.microsoft.com/office/drawing/2014/main" id="{D4FA5C38-9B47-4148-B87A-C879D46CA9E6}"/>
            </a:ext>
          </a:extLst>
        </cdr:cNvPr>
        <cdr:cNvCxnSpPr/>
      </cdr:nvCxnSpPr>
      <cdr:spPr>
        <a:xfrm xmlns:a="http://schemas.openxmlformats.org/drawingml/2006/main">
          <a:off x="1981200" y="3774281"/>
          <a:ext cx="438150" cy="314325"/>
        </a:xfrm>
        <a:prstGeom xmlns:a="http://schemas.openxmlformats.org/drawingml/2006/main" prst="straightConnector1">
          <a:avLst/>
        </a:prstGeom>
        <a:ln xmlns:a="http://schemas.openxmlformats.org/drawingml/2006/main" w="25400" cap="rnd">
          <a:solidFill>
            <a:schemeClr val="accent5">
              <a:alpha val="35000"/>
            </a:schemeClr>
          </a:solidFill>
          <a:miter lim="800000"/>
          <a:headEnd w="lg" len="lg"/>
          <a:tailEnd type="stealth" w="med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836CC-DBA1-49F0-9768-F5EA3CEAFF47}">
  <dimension ref="C1:AA85"/>
  <sheetViews>
    <sheetView tabSelected="1" topLeftCell="A37" zoomScale="80" zoomScaleNormal="80" workbookViewId="0">
      <selection activeCell="H54" sqref="H54"/>
    </sheetView>
  </sheetViews>
  <sheetFormatPr baseColWidth="10" defaultColWidth="9.140625" defaultRowHeight="15" x14ac:dyDescent="0.25"/>
  <cols>
    <col min="1" max="2" width="9.140625" style="1"/>
    <col min="3" max="3" width="12.42578125" style="1" customWidth="1"/>
    <col min="4" max="4" width="25.140625" style="1" customWidth="1"/>
    <col min="5" max="5" width="16.5703125" style="1" customWidth="1"/>
    <col min="6" max="11" width="13.5703125" style="1" customWidth="1"/>
    <col min="12" max="12" width="12.140625" style="1" customWidth="1"/>
    <col min="13" max="13" width="13.5703125" style="1" customWidth="1"/>
    <col min="14" max="16384" width="9.140625" style="1"/>
  </cols>
  <sheetData>
    <row r="1" spans="4:13" x14ac:dyDescent="0.25">
      <c r="D1" s="1" t="s">
        <v>35</v>
      </c>
    </row>
    <row r="3" spans="4:13" x14ac:dyDescent="0.25">
      <c r="D3" s="1" t="s">
        <v>36</v>
      </c>
    </row>
    <row r="5" spans="4:13" x14ac:dyDescent="0.25">
      <c r="D5" s="1" t="s">
        <v>0</v>
      </c>
      <c r="E5" s="3">
        <f>5*5*3.1415*12</f>
        <v>942.45</v>
      </c>
      <c r="G5" s="109" t="s">
        <v>49</v>
      </c>
      <c r="H5" s="109"/>
      <c r="I5" s="109"/>
      <c r="J5" s="109"/>
      <c r="K5" s="109"/>
      <c r="L5" s="109"/>
      <c r="M5" s="109"/>
    </row>
    <row r="6" spans="4:13" x14ac:dyDescent="0.25">
      <c r="D6" s="1" t="s">
        <v>22</v>
      </c>
      <c r="E6" s="3">
        <v>2941</v>
      </c>
      <c r="G6" s="109"/>
      <c r="H6" s="109"/>
      <c r="I6" s="109"/>
      <c r="J6" s="109"/>
      <c r="K6" s="109"/>
      <c r="L6" s="109"/>
      <c r="M6" s="109"/>
    </row>
    <row r="7" spans="4:13" x14ac:dyDescent="0.25">
      <c r="D7" s="1" t="s">
        <v>3</v>
      </c>
      <c r="E7" s="3">
        <v>2.65</v>
      </c>
      <c r="G7" s="104"/>
    </row>
    <row r="10" spans="4:13" s="47" customFormat="1" ht="30" x14ac:dyDescent="0.25">
      <c r="D10" s="45" t="s">
        <v>24</v>
      </c>
      <c r="E10" s="46" t="s">
        <v>21</v>
      </c>
      <c r="F10" s="46" t="s">
        <v>2</v>
      </c>
      <c r="G10" s="46" t="s">
        <v>11</v>
      </c>
      <c r="H10" s="46" t="s">
        <v>19</v>
      </c>
      <c r="I10" s="46" t="s">
        <v>20</v>
      </c>
    </row>
    <row r="12" spans="4:13" x14ac:dyDescent="0.25">
      <c r="D12" s="48">
        <f>F20</f>
        <v>1</v>
      </c>
      <c r="E12" s="49">
        <f>F26</f>
        <v>0.11085591792987283</v>
      </c>
      <c r="F12" s="50">
        <v>4729</v>
      </c>
      <c r="G12" s="51">
        <f t="shared" ref="G12:G17" si="0">F12-$E$6</f>
        <v>1788</v>
      </c>
      <c r="H12" s="42">
        <f t="shared" ref="H12:H17" si="1">G12/$E$5</f>
        <v>1.8971828744230461</v>
      </c>
      <c r="I12" s="42">
        <f t="shared" ref="I12:I17" si="2">H12/(1+E12)</f>
        <v>1.7078568370581548</v>
      </c>
    </row>
    <row r="13" spans="4:13" x14ac:dyDescent="0.25">
      <c r="D13" s="48">
        <f>G20</f>
        <v>2</v>
      </c>
      <c r="E13" s="49">
        <f>G26</f>
        <v>0.11458629513790185</v>
      </c>
      <c r="F13" s="50">
        <v>4752</v>
      </c>
      <c r="G13" s="51">
        <f t="shared" si="0"/>
        <v>1811</v>
      </c>
      <c r="H13" s="42">
        <f t="shared" si="1"/>
        <v>1.9215873521141704</v>
      </c>
      <c r="I13" s="42">
        <f t="shared" si="2"/>
        <v>1.7240364074963104</v>
      </c>
    </row>
    <row r="14" spans="4:13" x14ac:dyDescent="0.25">
      <c r="D14" s="48">
        <f>H20</f>
        <v>3</v>
      </c>
      <c r="E14" s="49">
        <f>H26</f>
        <v>0.12344720496894417</v>
      </c>
      <c r="F14" s="50">
        <v>4785</v>
      </c>
      <c r="G14" s="51">
        <f t="shared" si="0"/>
        <v>1844</v>
      </c>
      <c r="H14" s="42">
        <f t="shared" si="1"/>
        <v>1.9566024722796964</v>
      </c>
      <c r="I14" s="42">
        <f t="shared" si="2"/>
        <v>1.7416060706954035</v>
      </c>
    </row>
    <row r="15" spans="4:13" x14ac:dyDescent="0.25">
      <c r="D15" s="48">
        <f>I20</f>
        <v>4</v>
      </c>
      <c r="E15" s="49">
        <f>I26</f>
        <v>0.13891349276646017</v>
      </c>
      <c r="F15" s="50">
        <v>4848</v>
      </c>
      <c r="G15" s="51">
        <f t="shared" si="0"/>
        <v>1907</v>
      </c>
      <c r="H15" s="42">
        <f t="shared" si="1"/>
        <v>2.0234495198684281</v>
      </c>
      <c r="I15" s="42">
        <f t="shared" si="2"/>
        <v>1.7766490016317213</v>
      </c>
    </row>
    <row r="16" spans="4:13" x14ac:dyDescent="0.25">
      <c r="D16" s="48">
        <f>J20</f>
        <v>5</v>
      </c>
      <c r="E16" s="49">
        <f>J26</f>
        <v>0.15350488021295458</v>
      </c>
      <c r="F16" s="50">
        <v>4881</v>
      </c>
      <c r="G16" s="51">
        <f t="shared" si="0"/>
        <v>1940</v>
      </c>
      <c r="H16" s="42">
        <f t="shared" si="1"/>
        <v>2.0584646400339541</v>
      </c>
      <c r="I16" s="42">
        <f t="shared" si="2"/>
        <v>1.7845304994755897</v>
      </c>
    </row>
    <row r="17" spans="4:13" x14ac:dyDescent="0.25">
      <c r="D17" s="48">
        <f>K20</f>
        <v>6</v>
      </c>
      <c r="E17" s="49">
        <f>K26</f>
        <v>0.18083670715249661</v>
      </c>
      <c r="F17" s="50">
        <v>4830</v>
      </c>
      <c r="G17" s="51">
        <f t="shared" si="0"/>
        <v>1889</v>
      </c>
      <c r="H17" s="42">
        <f t="shared" si="1"/>
        <v>2.0043503634145048</v>
      </c>
      <c r="I17" s="42">
        <f t="shared" si="2"/>
        <v>1.6973984220458835</v>
      </c>
    </row>
    <row r="18" spans="4:13" ht="15.75" thickBot="1" x14ac:dyDescent="0.3">
      <c r="D18" s="48"/>
      <c r="E18" s="49"/>
      <c r="F18" s="50"/>
      <c r="G18" s="51"/>
      <c r="H18" s="42"/>
      <c r="I18" s="42"/>
    </row>
    <row r="19" spans="4:13" ht="15.75" thickTop="1" x14ac:dyDescent="0.25">
      <c r="D19" s="41" t="s">
        <v>23</v>
      </c>
      <c r="M19" s="99" t="s">
        <v>1</v>
      </c>
    </row>
    <row r="20" spans="4:13" ht="14.25" customHeight="1" x14ac:dyDescent="0.25">
      <c r="D20" s="1" t="s">
        <v>10</v>
      </c>
      <c r="F20" s="52">
        <v>1</v>
      </c>
      <c r="G20" s="52">
        <v>2</v>
      </c>
      <c r="H20" s="52">
        <v>3</v>
      </c>
      <c r="I20" s="52">
        <v>4</v>
      </c>
      <c r="J20" s="52">
        <v>5</v>
      </c>
      <c r="K20" s="52">
        <v>6</v>
      </c>
      <c r="L20" s="52">
        <v>7</v>
      </c>
      <c r="M20" s="100" t="s">
        <v>16</v>
      </c>
    </row>
    <row r="21" spans="4:13" x14ac:dyDescent="0.25">
      <c r="D21" s="1" t="s">
        <v>5</v>
      </c>
      <c r="F21" s="53">
        <f>145.1+28.78</f>
        <v>173.88</v>
      </c>
      <c r="G21" s="53">
        <f>156.8+29.92</f>
        <v>186.72000000000003</v>
      </c>
      <c r="H21" s="53">
        <f>144.7+29.8</f>
        <v>174.5</v>
      </c>
      <c r="I21" s="53">
        <f>154.3+30.12</f>
        <v>184.42000000000002</v>
      </c>
      <c r="J21" s="53">
        <f>130+29.6</f>
        <v>159.6</v>
      </c>
      <c r="K21" s="53">
        <f>140+28.54</f>
        <v>168.54</v>
      </c>
      <c r="L21" s="53">
        <v>0</v>
      </c>
      <c r="M21" s="101">
        <v>247.55</v>
      </c>
    </row>
    <row r="22" spans="4:13" x14ac:dyDescent="0.25">
      <c r="D22" s="1" t="s">
        <v>6</v>
      </c>
      <c r="F22" s="53">
        <v>159.4</v>
      </c>
      <c r="G22" s="53">
        <v>170.6</v>
      </c>
      <c r="H22" s="53">
        <v>158.6</v>
      </c>
      <c r="I22" s="53">
        <v>165.6</v>
      </c>
      <c r="J22" s="53">
        <v>142.30000000000001</v>
      </c>
      <c r="K22" s="53">
        <v>147.1</v>
      </c>
      <c r="L22" s="53">
        <v>0</v>
      </c>
      <c r="M22" s="101">
        <v>224.7</v>
      </c>
    </row>
    <row r="23" spans="4:13" x14ac:dyDescent="0.25">
      <c r="D23" s="1" t="s">
        <v>7</v>
      </c>
      <c r="F23" s="53">
        <v>28.78</v>
      </c>
      <c r="G23" s="53">
        <v>29.92</v>
      </c>
      <c r="H23" s="53">
        <v>29.8</v>
      </c>
      <c r="I23" s="53">
        <v>30.12</v>
      </c>
      <c r="J23" s="53">
        <v>29.6</v>
      </c>
      <c r="K23" s="53">
        <v>28.54</v>
      </c>
      <c r="L23" s="53">
        <v>0</v>
      </c>
      <c r="M23" s="101">
        <v>88</v>
      </c>
    </row>
    <row r="24" spans="4:13" x14ac:dyDescent="0.25">
      <c r="D24" s="1" t="s">
        <v>8</v>
      </c>
      <c r="F24" s="54">
        <f t="shared" ref="F24:J25" si="3">F21-F22</f>
        <v>14.47999999999999</v>
      </c>
      <c r="G24" s="54">
        <f t="shared" si="3"/>
        <v>16.120000000000033</v>
      </c>
      <c r="H24" s="54">
        <f t="shared" si="3"/>
        <v>15.900000000000006</v>
      </c>
      <c r="I24" s="54">
        <f t="shared" si="3"/>
        <v>18.820000000000022</v>
      </c>
      <c r="J24" s="54">
        <f t="shared" si="3"/>
        <v>17.299999999999983</v>
      </c>
      <c r="K24" s="54">
        <f t="shared" ref="K24:M25" si="4">K21-K22</f>
        <v>21.439999999999998</v>
      </c>
      <c r="L24" s="54">
        <f t="shared" si="4"/>
        <v>0</v>
      </c>
      <c r="M24" s="102">
        <f t="shared" si="4"/>
        <v>22.850000000000023</v>
      </c>
    </row>
    <row r="25" spans="4:13" x14ac:dyDescent="0.25">
      <c r="D25" s="1" t="s">
        <v>9</v>
      </c>
      <c r="F25" s="54">
        <f t="shared" si="3"/>
        <v>130.62</v>
      </c>
      <c r="G25" s="54">
        <f t="shared" si="3"/>
        <v>140.68</v>
      </c>
      <c r="H25" s="54">
        <f t="shared" si="3"/>
        <v>128.79999999999998</v>
      </c>
      <c r="I25" s="54">
        <f t="shared" si="3"/>
        <v>135.47999999999999</v>
      </c>
      <c r="J25" s="54">
        <f t="shared" si="3"/>
        <v>112.70000000000002</v>
      </c>
      <c r="K25" s="54">
        <f t="shared" si="4"/>
        <v>118.56</v>
      </c>
      <c r="L25" s="54">
        <f t="shared" si="4"/>
        <v>0</v>
      </c>
      <c r="M25" s="102">
        <f t="shared" si="4"/>
        <v>136.69999999999999</v>
      </c>
    </row>
    <row r="26" spans="4:13" ht="15.75" thickBot="1" x14ac:dyDescent="0.3">
      <c r="D26" s="41" t="s">
        <v>1</v>
      </c>
      <c r="E26" s="41"/>
      <c r="F26" s="55">
        <f t="shared" ref="F26:J26" si="5">F24/F25</f>
        <v>0.11085591792987283</v>
      </c>
      <c r="G26" s="55">
        <f t="shared" si="5"/>
        <v>0.11458629513790185</v>
      </c>
      <c r="H26" s="55">
        <f t="shared" si="5"/>
        <v>0.12344720496894417</v>
      </c>
      <c r="I26" s="55">
        <f t="shared" si="5"/>
        <v>0.13891349276646017</v>
      </c>
      <c r="J26" s="55">
        <f t="shared" si="5"/>
        <v>0.15350488021295458</v>
      </c>
      <c r="K26" s="55">
        <f>K24/K25</f>
        <v>0.18083670715249661</v>
      </c>
      <c r="L26" s="55">
        <f>L24/(L25+0.0000001)</f>
        <v>0</v>
      </c>
      <c r="M26" s="103">
        <f>M24/(M25+0.000001)</f>
        <v>0.16715435137414539</v>
      </c>
    </row>
    <row r="27" spans="4:13" ht="16.5" thickTop="1" thickBot="1" x14ac:dyDescent="0.3">
      <c r="D27" s="48"/>
      <c r="E27" s="49"/>
      <c r="F27" s="50"/>
      <c r="G27" s="51"/>
      <c r="H27" s="42"/>
      <c r="I27" s="42"/>
      <c r="M27" s="65"/>
    </row>
    <row r="28" spans="4:13" ht="15.75" thickTop="1" x14ac:dyDescent="0.25">
      <c r="D28" s="22"/>
      <c r="E28" s="23"/>
      <c r="F28" s="24"/>
      <c r="G28" s="25"/>
      <c r="H28" s="26"/>
      <c r="I28" s="26"/>
      <c r="J28" s="27"/>
      <c r="K28" s="27"/>
      <c r="L28" s="27"/>
      <c r="M28" s="66"/>
    </row>
    <row r="29" spans="4:13" s="47" customFormat="1" ht="45" x14ac:dyDescent="0.25">
      <c r="D29" s="28" t="s">
        <v>34</v>
      </c>
      <c r="E29" s="29" t="s">
        <v>21</v>
      </c>
      <c r="F29" s="29" t="s">
        <v>2</v>
      </c>
      <c r="G29" s="29" t="s">
        <v>11</v>
      </c>
      <c r="H29" s="29" t="s">
        <v>19</v>
      </c>
      <c r="I29" s="29" t="s">
        <v>20</v>
      </c>
      <c r="J29" s="30"/>
      <c r="K29" s="30"/>
      <c r="L29" s="30"/>
      <c r="M29" s="67"/>
    </row>
    <row r="30" spans="4:13" x14ac:dyDescent="0.25">
      <c r="D30" s="15"/>
      <c r="E30" s="5"/>
      <c r="F30" s="5"/>
      <c r="G30" s="5"/>
      <c r="H30" s="5"/>
      <c r="I30" s="5"/>
      <c r="J30" s="5"/>
      <c r="K30" s="5"/>
      <c r="L30" s="5"/>
      <c r="M30" s="68"/>
    </row>
    <row r="31" spans="4:13" x14ac:dyDescent="0.25">
      <c r="D31" s="31" t="str">
        <f>F40</f>
        <v>1 N18</v>
      </c>
      <c r="E31" s="32">
        <f>F46</f>
        <v>0.10067409144196959</v>
      </c>
      <c r="F31" s="33">
        <v>4771</v>
      </c>
      <c r="G31" s="34">
        <f t="shared" ref="G31:G37" si="6">F31-$E$6</f>
        <v>1830</v>
      </c>
      <c r="H31" s="10">
        <f t="shared" ref="H31:H37" si="7">G31/$E$5</f>
        <v>1.9417475728155338</v>
      </c>
      <c r="I31" s="10">
        <f t="shared" ref="I31:I36" si="8">H31/(1+E31)</f>
        <v>1.7641439804144854</v>
      </c>
      <c r="J31" s="5"/>
      <c r="K31" s="33"/>
      <c r="L31" s="5"/>
      <c r="M31" s="68"/>
    </row>
    <row r="32" spans="4:13" x14ac:dyDescent="0.25">
      <c r="D32" s="31" t="str">
        <f>G40</f>
        <v>2 N18</v>
      </c>
      <c r="E32" s="32">
        <f>G46</f>
        <v>0.11707317073170759</v>
      </c>
      <c r="F32" s="33">
        <v>4831</v>
      </c>
      <c r="G32" s="34">
        <f t="shared" si="6"/>
        <v>1890</v>
      </c>
      <c r="H32" s="10">
        <f t="shared" si="7"/>
        <v>2.005411427661945</v>
      </c>
      <c r="I32" s="10">
        <f t="shared" si="8"/>
        <v>1.7952373042388585</v>
      </c>
      <c r="J32" s="5"/>
      <c r="K32" s="33"/>
      <c r="L32" s="5"/>
      <c r="M32" s="68"/>
    </row>
    <row r="33" spans="4:13" x14ac:dyDescent="0.25">
      <c r="D33" s="31" t="str">
        <f>H40</f>
        <v>3 N18</v>
      </c>
      <c r="E33" s="32">
        <f>H46</f>
        <v>0.135023860765416</v>
      </c>
      <c r="F33" s="33">
        <v>4893</v>
      </c>
      <c r="G33" s="34">
        <f t="shared" si="6"/>
        <v>1952</v>
      </c>
      <c r="H33" s="10">
        <f t="shared" si="7"/>
        <v>2.0711974110032361</v>
      </c>
      <c r="I33" s="10">
        <f t="shared" si="8"/>
        <v>1.8248051715904026</v>
      </c>
      <c r="J33" s="5"/>
      <c r="K33" s="5"/>
      <c r="L33" s="5"/>
      <c r="M33" s="68"/>
    </row>
    <row r="34" spans="4:13" x14ac:dyDescent="0.25">
      <c r="D34" s="31" t="str">
        <f>I40</f>
        <v>4 N18</v>
      </c>
      <c r="E34" s="32">
        <f>I46</f>
        <v>0.14810915863632676</v>
      </c>
      <c r="F34" s="33">
        <v>4921</v>
      </c>
      <c r="G34" s="34">
        <f t="shared" si="6"/>
        <v>1980</v>
      </c>
      <c r="H34" s="10">
        <f t="shared" si="7"/>
        <v>2.1009072099315613</v>
      </c>
      <c r="I34" s="10">
        <f t="shared" si="8"/>
        <v>1.8298845489804523</v>
      </c>
      <c r="J34" s="5"/>
      <c r="K34" s="5"/>
      <c r="L34" s="5"/>
      <c r="M34" s="68"/>
    </row>
    <row r="35" spans="4:13" x14ac:dyDescent="0.25">
      <c r="D35" s="31" t="str">
        <f>J40</f>
        <v>5 N18</v>
      </c>
      <c r="E35" s="32">
        <f>J46</f>
        <v>0.16814159292035408</v>
      </c>
      <c r="F35" s="33">
        <v>4878</v>
      </c>
      <c r="G35" s="34">
        <f t="shared" si="6"/>
        <v>1937</v>
      </c>
      <c r="H35" s="10">
        <f t="shared" si="7"/>
        <v>2.0552814472916334</v>
      </c>
      <c r="I35" s="10">
        <f t="shared" si="8"/>
        <v>1.7594454813935951</v>
      </c>
      <c r="J35" s="5"/>
      <c r="K35" s="5"/>
      <c r="L35" s="5"/>
      <c r="M35" s="68"/>
    </row>
    <row r="36" spans="4:13" x14ac:dyDescent="0.25">
      <c r="D36" s="31" t="str">
        <f>K40</f>
        <v>6 N18</v>
      </c>
      <c r="E36" s="32">
        <f>K46</f>
        <v>0.17243137588170299</v>
      </c>
      <c r="F36" s="33">
        <v>4865</v>
      </c>
      <c r="G36" s="34">
        <f t="shared" si="6"/>
        <v>1924</v>
      </c>
      <c r="H36" s="10">
        <f t="shared" si="7"/>
        <v>2.0414876120749113</v>
      </c>
      <c r="I36" s="10">
        <f t="shared" si="8"/>
        <v>1.7412427320444679</v>
      </c>
      <c r="J36" s="5"/>
      <c r="K36" s="5"/>
      <c r="L36" s="5"/>
      <c r="M36" s="68"/>
    </row>
    <row r="37" spans="4:13" x14ac:dyDescent="0.25">
      <c r="D37" s="31" t="str">
        <f>L40</f>
        <v>7 N18</v>
      </c>
      <c r="E37" s="32">
        <f>L46</f>
        <v>0.17821515233216498</v>
      </c>
      <c r="F37" s="33">
        <v>4840</v>
      </c>
      <c r="G37" s="34">
        <f t="shared" si="6"/>
        <v>1899</v>
      </c>
      <c r="H37" s="10">
        <f t="shared" si="7"/>
        <v>2.0149610058889067</v>
      </c>
      <c r="I37" s="10">
        <f t="shared" ref="I37" si="9">H37/(1+E37)</f>
        <v>1.7101808628928961</v>
      </c>
      <c r="J37" s="5"/>
      <c r="K37" s="5"/>
      <c r="L37" s="5"/>
      <c r="M37" s="68"/>
    </row>
    <row r="38" spans="4:13" x14ac:dyDescent="0.25">
      <c r="D38" s="31"/>
      <c r="E38" s="32"/>
      <c r="F38" s="33"/>
      <c r="G38" s="34"/>
      <c r="H38" s="10"/>
      <c r="I38" s="10"/>
      <c r="J38" s="5"/>
      <c r="K38" s="5"/>
      <c r="L38" s="5"/>
      <c r="M38" s="68"/>
    </row>
    <row r="39" spans="4:13" x14ac:dyDescent="0.25">
      <c r="D39" s="35" t="s">
        <v>25</v>
      </c>
      <c r="E39" s="5"/>
      <c r="F39" s="5"/>
      <c r="G39" s="5"/>
      <c r="H39" s="5"/>
      <c r="I39" s="5"/>
      <c r="J39" s="5"/>
      <c r="K39" s="5"/>
      <c r="L39" s="5"/>
      <c r="M39" s="68"/>
    </row>
    <row r="40" spans="4:13" ht="14.25" customHeight="1" x14ac:dyDescent="0.25">
      <c r="D40" s="15" t="s">
        <v>10</v>
      </c>
      <c r="E40" s="5"/>
      <c r="F40" s="36" t="s">
        <v>27</v>
      </c>
      <c r="G40" s="36" t="s">
        <v>28</v>
      </c>
      <c r="H40" s="36" t="s">
        <v>29</v>
      </c>
      <c r="I40" s="36" t="s">
        <v>30</v>
      </c>
      <c r="J40" s="36" t="s">
        <v>31</v>
      </c>
      <c r="K40" s="36" t="s">
        <v>32</v>
      </c>
      <c r="L40" s="36" t="s">
        <v>33</v>
      </c>
      <c r="M40" s="73"/>
    </row>
    <row r="41" spans="4:13" x14ac:dyDescent="0.25">
      <c r="D41" s="15" t="s">
        <v>5</v>
      </c>
      <c r="E41" s="5"/>
      <c r="F41" s="37">
        <v>179</v>
      </c>
      <c r="G41" s="37">
        <f>160.3+29.92</f>
        <v>190.22000000000003</v>
      </c>
      <c r="H41" s="37">
        <v>151.1</v>
      </c>
      <c r="I41" s="37">
        <v>171.9</v>
      </c>
      <c r="J41" s="37">
        <f>158.4+29.6</f>
        <v>188</v>
      </c>
      <c r="K41" s="37">
        <v>166.5</v>
      </c>
      <c r="L41" s="37">
        <f>174.8+28.54</f>
        <v>203.34</v>
      </c>
      <c r="M41" s="70"/>
    </row>
    <row r="42" spans="4:13" x14ac:dyDescent="0.25">
      <c r="D42" s="15" t="s">
        <v>6</v>
      </c>
      <c r="E42" s="5"/>
      <c r="F42" s="37">
        <v>165.26</v>
      </c>
      <c r="G42" s="37">
        <v>173.42</v>
      </c>
      <c r="H42" s="37">
        <v>136.66999999999999</v>
      </c>
      <c r="I42" s="37">
        <v>153.61000000000001</v>
      </c>
      <c r="J42" s="37">
        <v>165.2</v>
      </c>
      <c r="K42" s="37">
        <v>146.21</v>
      </c>
      <c r="L42" s="37">
        <v>176.9</v>
      </c>
      <c r="M42" s="70"/>
    </row>
    <row r="43" spans="4:13" x14ac:dyDescent="0.25">
      <c r="D43" s="15" t="s">
        <v>7</v>
      </c>
      <c r="E43" s="5"/>
      <c r="F43" s="37">
        <v>28.78</v>
      </c>
      <c r="G43" s="37">
        <v>29.92</v>
      </c>
      <c r="H43" s="37">
        <v>29.8</v>
      </c>
      <c r="I43" s="37">
        <v>30.12</v>
      </c>
      <c r="J43" s="37">
        <v>29.6</v>
      </c>
      <c r="K43" s="37">
        <v>28.54</v>
      </c>
      <c r="L43" s="37">
        <v>28.54</v>
      </c>
      <c r="M43" s="70"/>
    </row>
    <row r="44" spans="4:13" x14ac:dyDescent="0.25">
      <c r="D44" s="15" t="s">
        <v>8</v>
      </c>
      <c r="E44" s="5"/>
      <c r="F44" s="38">
        <f t="shared" ref="F44:J44" si="10">F41-F42</f>
        <v>13.740000000000009</v>
      </c>
      <c r="G44" s="38">
        <f t="shared" si="10"/>
        <v>16.80000000000004</v>
      </c>
      <c r="H44" s="38">
        <f t="shared" si="10"/>
        <v>14.430000000000007</v>
      </c>
      <c r="I44" s="38">
        <f t="shared" si="10"/>
        <v>18.289999999999992</v>
      </c>
      <c r="J44" s="38">
        <f t="shared" si="10"/>
        <v>22.800000000000011</v>
      </c>
      <c r="K44" s="38">
        <f t="shared" ref="K44:L45" si="11">K41-K42</f>
        <v>20.289999999999992</v>
      </c>
      <c r="L44" s="38">
        <f t="shared" si="11"/>
        <v>26.439999999999998</v>
      </c>
      <c r="M44" s="71"/>
    </row>
    <row r="45" spans="4:13" x14ac:dyDescent="0.25">
      <c r="D45" s="15" t="s">
        <v>9</v>
      </c>
      <c r="E45" s="5"/>
      <c r="F45" s="38">
        <f t="shared" ref="F45:J45" si="12">F42-F43</f>
        <v>136.47999999999999</v>
      </c>
      <c r="G45" s="38">
        <f t="shared" si="12"/>
        <v>143.5</v>
      </c>
      <c r="H45" s="38">
        <f t="shared" si="12"/>
        <v>106.86999999999999</v>
      </c>
      <c r="I45" s="38">
        <f t="shared" si="12"/>
        <v>123.49000000000001</v>
      </c>
      <c r="J45" s="38">
        <f t="shared" si="12"/>
        <v>135.6</v>
      </c>
      <c r="K45" s="38">
        <f t="shared" si="11"/>
        <v>117.67000000000002</v>
      </c>
      <c r="L45" s="38">
        <f t="shared" si="11"/>
        <v>148.36000000000001</v>
      </c>
      <c r="M45" s="71"/>
    </row>
    <row r="46" spans="4:13" x14ac:dyDescent="0.25">
      <c r="D46" s="35" t="s">
        <v>1</v>
      </c>
      <c r="E46" s="6"/>
      <c r="F46" s="39">
        <f t="shared" ref="F46:J46" si="13">F44/F45</f>
        <v>0.10067409144196959</v>
      </c>
      <c r="G46" s="39">
        <f t="shared" si="13"/>
        <v>0.11707317073170759</v>
      </c>
      <c r="H46" s="39">
        <f t="shared" si="13"/>
        <v>0.135023860765416</v>
      </c>
      <c r="I46" s="39">
        <f t="shared" si="13"/>
        <v>0.14810915863632676</v>
      </c>
      <c r="J46" s="39">
        <f t="shared" si="13"/>
        <v>0.16814159292035408</v>
      </c>
      <c r="K46" s="39">
        <f>K44/K45</f>
        <v>0.17243137588170299</v>
      </c>
      <c r="L46" s="39">
        <f>L44/L45</f>
        <v>0.17821515233216498</v>
      </c>
      <c r="M46" s="72"/>
    </row>
    <row r="47" spans="4:13" ht="15.75" thickBot="1" x14ac:dyDescent="0.3">
      <c r="D47" s="19"/>
      <c r="E47" s="20"/>
      <c r="F47" s="20"/>
      <c r="G47" s="20"/>
      <c r="H47" s="20"/>
      <c r="I47" s="20"/>
      <c r="J47" s="20"/>
      <c r="K47" s="20"/>
      <c r="L47" s="20"/>
      <c r="M47" s="69"/>
    </row>
    <row r="48" spans="4:13" ht="15.75" thickTop="1" x14ac:dyDescent="0.25">
      <c r="M48" s="65"/>
    </row>
    <row r="49" spans="3:27" x14ac:dyDescent="0.25">
      <c r="D49" s="1" t="s">
        <v>4</v>
      </c>
      <c r="E49" s="2">
        <v>0</v>
      </c>
      <c r="F49" s="2">
        <v>0.05</v>
      </c>
      <c r="G49" s="2">
        <v>0.1</v>
      </c>
    </row>
    <row r="50" spans="3:27" x14ac:dyDescent="0.25">
      <c r="D50" s="3">
        <v>0.16500000000000001</v>
      </c>
      <c r="E50" s="4">
        <f>$E$7*(1-$E$49)*1/(1+D50*$E$7)</f>
        <v>1.843798921551574</v>
      </c>
      <c r="F50" s="4">
        <f>$E$7*(1-$F$49)*1/(1+D50*$E$7)</f>
        <v>1.751608975473995</v>
      </c>
      <c r="G50" s="4">
        <f>$E$7*(1-$G$49)*1/(1+D50*$E$7)</f>
        <v>1.6594190293964164</v>
      </c>
    </row>
    <row r="51" spans="3:27" x14ac:dyDescent="0.25">
      <c r="D51" s="3">
        <v>0.19</v>
      </c>
      <c r="E51" s="4">
        <f>$E$7*(1-$E$49)*1/(1+D51*$E$7)</f>
        <v>1.7625540405719988</v>
      </c>
      <c r="F51" s="4">
        <f>$E$7*(1-$F$49)*1/(1+D51*$E$7)</f>
        <v>1.6744263385433986</v>
      </c>
      <c r="G51" s="4">
        <f>$E$7*(1-$G$49)*1/(1+D51*$E$7)</f>
        <v>1.5862986365147989</v>
      </c>
    </row>
    <row r="52" spans="3:27" x14ac:dyDescent="0.25">
      <c r="D52" s="3">
        <v>0.21</v>
      </c>
      <c r="E52" s="4">
        <f>$E$7*(1-$E$49)*1/(1+D52*$E$7)</f>
        <v>1.7025377449405716</v>
      </c>
      <c r="F52" s="4">
        <f>$E$7*(1-$F$49)*1/(1+D52*$E$7)</f>
        <v>1.6174108576935429</v>
      </c>
      <c r="G52" s="4">
        <f>$E$7*(1-$G$49)*1/(1+D52*$E$7)</f>
        <v>1.5322839704465145</v>
      </c>
    </row>
    <row r="53" spans="3:27" ht="15.75" thickBot="1" x14ac:dyDescent="0.3"/>
    <row r="54" spans="3:27" s="40" customFormat="1" ht="19.5" thickTop="1" x14ac:dyDescent="0.3">
      <c r="C54" s="64" t="s">
        <v>46</v>
      </c>
      <c r="D54" s="13"/>
      <c r="E54" s="13"/>
      <c r="F54" s="13"/>
      <c r="G54" s="14"/>
      <c r="H54" s="64" t="s">
        <v>50</v>
      </c>
      <c r="I54" s="12"/>
      <c r="J54" s="13"/>
      <c r="K54" s="13"/>
      <c r="L54" s="13"/>
      <c r="M54" s="14"/>
      <c r="P54" s="79"/>
      <c r="Q54" s="80"/>
      <c r="R54" s="81"/>
      <c r="S54" s="81"/>
      <c r="T54" s="81"/>
      <c r="U54" s="81"/>
      <c r="V54" s="79"/>
      <c r="W54" s="80"/>
      <c r="X54" s="81"/>
      <c r="Y54" s="81"/>
      <c r="Z54" s="81"/>
      <c r="AA54" s="81"/>
    </row>
    <row r="55" spans="3:27" s="40" customFormat="1" ht="41.25" customHeight="1" x14ac:dyDescent="0.3">
      <c r="C55" s="113" t="s">
        <v>47</v>
      </c>
      <c r="D55" s="114"/>
      <c r="E55" s="114"/>
      <c r="F55" s="114"/>
      <c r="G55" s="115"/>
      <c r="H55" s="110" t="s">
        <v>51</v>
      </c>
      <c r="I55" s="111"/>
      <c r="J55" s="111"/>
      <c r="K55" s="111"/>
      <c r="L55" s="111"/>
      <c r="M55" s="112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</row>
    <row r="56" spans="3:27" x14ac:dyDescent="0.25">
      <c r="C56" s="15"/>
      <c r="D56" s="5"/>
      <c r="E56" s="5"/>
      <c r="F56" s="5"/>
      <c r="G56" s="16"/>
      <c r="H56" s="15"/>
      <c r="I56" s="5"/>
      <c r="J56" s="5"/>
      <c r="K56" s="5"/>
      <c r="L56" s="5"/>
      <c r="M56" s="16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</row>
    <row r="57" spans="3:27" x14ac:dyDescent="0.25">
      <c r="C57" s="56" t="s">
        <v>12</v>
      </c>
      <c r="D57" s="5"/>
      <c r="E57" s="5"/>
      <c r="F57" s="5"/>
      <c r="G57" s="16"/>
      <c r="H57" s="56" t="s">
        <v>12</v>
      </c>
      <c r="I57" s="6"/>
      <c r="J57" s="5"/>
      <c r="K57" s="5"/>
      <c r="L57" s="5"/>
      <c r="M57" s="16"/>
      <c r="P57" s="83"/>
      <c r="Q57" s="84"/>
      <c r="R57" s="82"/>
      <c r="S57" s="82"/>
      <c r="T57" s="82"/>
      <c r="U57" s="82"/>
      <c r="V57" s="83"/>
      <c r="W57" s="84"/>
      <c r="X57" s="82"/>
      <c r="Y57" s="82"/>
      <c r="Z57" s="82"/>
      <c r="AA57" s="82"/>
    </row>
    <row r="58" spans="3:27" x14ac:dyDescent="0.25">
      <c r="C58" s="57" t="s">
        <v>54</v>
      </c>
      <c r="D58" s="5"/>
      <c r="E58" s="5"/>
      <c r="F58" s="7">
        <v>15</v>
      </c>
      <c r="G58" s="16" t="s">
        <v>13</v>
      </c>
      <c r="H58" s="57" t="s">
        <v>43</v>
      </c>
      <c r="I58" s="5"/>
      <c r="J58" s="5"/>
      <c r="K58" s="5"/>
      <c r="L58" s="78">
        <f>14.3</f>
        <v>14.3</v>
      </c>
      <c r="M58" s="16" t="s">
        <v>13</v>
      </c>
      <c r="P58" s="85"/>
      <c r="Q58" s="82"/>
      <c r="R58" s="82"/>
      <c r="S58" s="82"/>
      <c r="T58" s="86"/>
      <c r="U58" s="82"/>
      <c r="V58" s="85"/>
      <c r="W58" s="82"/>
      <c r="X58" s="82"/>
      <c r="Y58" s="82"/>
      <c r="Z58" s="86"/>
      <c r="AA58" s="82"/>
    </row>
    <row r="59" spans="3:27" x14ac:dyDescent="0.25">
      <c r="C59" s="57" t="s">
        <v>55</v>
      </c>
      <c r="D59" s="5"/>
      <c r="E59" s="5"/>
      <c r="F59" s="8">
        <v>1.7849999999999999</v>
      </c>
      <c r="G59" s="16" t="str">
        <f>"g/cm3"</f>
        <v>g/cm3</v>
      </c>
      <c r="H59" s="57" t="s">
        <v>44</v>
      </c>
      <c r="I59" s="5"/>
      <c r="J59" s="5"/>
      <c r="K59" s="5"/>
      <c r="L59" s="8">
        <v>1.8320000000000001</v>
      </c>
      <c r="M59" s="16" t="str">
        <f>"g/cm3"</f>
        <v>g/cm3</v>
      </c>
      <c r="P59" s="85"/>
      <c r="Q59" s="82"/>
      <c r="R59" s="82"/>
      <c r="S59" s="82"/>
      <c r="T59" s="87"/>
      <c r="U59" s="82"/>
      <c r="V59" s="85"/>
      <c r="W59" s="82"/>
      <c r="X59" s="82"/>
      <c r="Y59" s="82"/>
      <c r="Z59" s="87"/>
      <c r="AA59" s="82"/>
    </row>
    <row r="60" spans="3:27" x14ac:dyDescent="0.25">
      <c r="C60" s="57"/>
      <c r="D60" s="5"/>
      <c r="E60" s="5"/>
      <c r="F60" s="76"/>
      <c r="G60" s="16"/>
      <c r="H60" s="57" t="s">
        <v>48</v>
      </c>
      <c r="I60" s="5"/>
      <c r="J60" s="5"/>
      <c r="K60" s="5"/>
      <c r="L60" s="76">
        <f>M26*100</f>
        <v>16.715435137414538</v>
      </c>
      <c r="M60" s="16" t="s">
        <v>13</v>
      </c>
      <c r="P60" s="85"/>
      <c r="Q60" s="82"/>
      <c r="R60" s="82"/>
      <c r="S60" s="82"/>
      <c r="T60" s="88"/>
      <c r="U60" s="82"/>
      <c r="V60" s="85"/>
      <c r="W60" s="82"/>
      <c r="X60" s="82"/>
      <c r="Y60" s="82"/>
      <c r="Z60" s="88"/>
      <c r="AA60" s="82"/>
    </row>
    <row r="61" spans="3:27" x14ac:dyDescent="0.25">
      <c r="C61" s="57"/>
      <c r="D61" s="5"/>
      <c r="E61" s="5"/>
      <c r="F61" s="7"/>
      <c r="G61" s="16"/>
      <c r="H61" s="57"/>
      <c r="I61" s="5"/>
      <c r="J61" s="5"/>
      <c r="K61" s="5"/>
      <c r="L61" s="7"/>
      <c r="M61" s="16"/>
      <c r="P61" s="85"/>
      <c r="Q61" s="82"/>
      <c r="R61" s="82"/>
      <c r="S61" s="82"/>
      <c r="T61" s="89"/>
      <c r="U61" s="82"/>
      <c r="V61" s="85"/>
      <c r="W61" s="82"/>
      <c r="X61" s="82"/>
      <c r="Y61" s="82"/>
      <c r="Z61" s="89"/>
      <c r="AA61" s="82"/>
    </row>
    <row r="62" spans="3:27" x14ac:dyDescent="0.25">
      <c r="C62" s="56"/>
      <c r="D62" s="5"/>
      <c r="E62" s="5"/>
      <c r="F62" s="9"/>
      <c r="G62" s="17"/>
      <c r="H62" s="56" t="s">
        <v>41</v>
      </c>
      <c r="I62" s="6"/>
      <c r="J62" s="5"/>
      <c r="K62" s="5"/>
      <c r="L62" s="9"/>
      <c r="M62" s="17"/>
      <c r="N62" s="43"/>
      <c r="P62" s="83"/>
      <c r="Q62" s="84"/>
      <c r="R62" s="82"/>
      <c r="S62" s="82"/>
      <c r="T62" s="90"/>
      <c r="U62" s="90"/>
      <c r="V62" s="83"/>
      <c r="W62" s="84"/>
      <c r="X62" s="82"/>
      <c r="Y62" s="82"/>
      <c r="Z62" s="90"/>
      <c r="AA62" s="90"/>
    </row>
    <row r="63" spans="3:27" x14ac:dyDescent="0.25">
      <c r="C63" s="57"/>
      <c r="D63" s="5"/>
      <c r="E63" s="5"/>
      <c r="F63" s="61"/>
      <c r="G63" s="62"/>
      <c r="H63" s="57" t="s">
        <v>38</v>
      </c>
      <c r="I63" s="5"/>
      <c r="J63" s="5"/>
      <c r="K63" s="5"/>
      <c r="L63" s="61">
        <f>(L58-L60)</f>
        <v>-2.4154351374145371</v>
      </c>
      <c r="M63" s="62" t="s">
        <v>13</v>
      </c>
      <c r="P63" s="85"/>
      <c r="Q63" s="82"/>
      <c r="R63" s="82"/>
      <c r="S63" s="82"/>
      <c r="T63" s="91"/>
      <c r="U63" s="92"/>
      <c r="V63" s="85"/>
      <c r="W63" s="82"/>
      <c r="X63" s="82"/>
      <c r="Y63" s="82"/>
      <c r="Z63" s="91"/>
      <c r="AA63" s="92"/>
    </row>
    <row r="64" spans="3:27" x14ac:dyDescent="0.25">
      <c r="C64" s="57" t="s">
        <v>14</v>
      </c>
      <c r="D64" s="5"/>
      <c r="E64" s="5"/>
      <c r="F64" s="74">
        <f>4.5*0.7</f>
        <v>3.15</v>
      </c>
      <c r="G64" s="16" t="s">
        <v>13</v>
      </c>
      <c r="H64" s="57" t="s">
        <v>14</v>
      </c>
      <c r="I64" s="5"/>
      <c r="J64" s="5"/>
      <c r="K64" s="5"/>
      <c r="L64" s="77">
        <f>F64</f>
        <v>3.15</v>
      </c>
      <c r="M64" s="16" t="s">
        <v>13</v>
      </c>
      <c r="O64" s="42"/>
      <c r="P64" s="85"/>
      <c r="Q64" s="82"/>
      <c r="R64" s="82"/>
      <c r="S64" s="82"/>
      <c r="T64" s="93"/>
      <c r="U64" s="82"/>
      <c r="V64" s="85"/>
      <c r="W64" s="82"/>
      <c r="X64" s="82"/>
      <c r="Y64" s="82"/>
      <c r="Z64" s="93"/>
      <c r="AA64" s="82"/>
    </row>
    <row r="65" spans="3:27" x14ac:dyDescent="0.25">
      <c r="C65" s="57" t="s">
        <v>15</v>
      </c>
      <c r="D65" s="5"/>
      <c r="E65" s="5"/>
      <c r="F65" s="74">
        <f>4.5*0.3</f>
        <v>1.3499999999999999</v>
      </c>
      <c r="G65" s="16" t="s">
        <v>13</v>
      </c>
      <c r="H65" s="57" t="s">
        <v>15</v>
      </c>
      <c r="I65" s="5"/>
      <c r="J65" s="5"/>
      <c r="K65" s="5"/>
      <c r="L65" s="77">
        <f>F65</f>
        <v>1.3499999999999999</v>
      </c>
      <c r="M65" s="16" t="s">
        <v>13</v>
      </c>
      <c r="P65" s="85"/>
      <c r="Q65" s="82"/>
      <c r="R65" s="82"/>
      <c r="S65" s="82"/>
      <c r="T65" s="93"/>
      <c r="U65" s="82"/>
      <c r="V65" s="85"/>
      <c r="W65" s="82"/>
      <c r="X65" s="82"/>
      <c r="Y65" s="82"/>
      <c r="Z65" s="93"/>
      <c r="AA65" s="82"/>
    </row>
    <row r="66" spans="3:27" x14ac:dyDescent="0.25">
      <c r="C66" s="57" t="s">
        <v>45</v>
      </c>
      <c r="D66" s="5"/>
      <c r="E66" s="5"/>
      <c r="F66" s="77">
        <f>F64+F65</f>
        <v>4.5</v>
      </c>
      <c r="G66" s="16" t="s">
        <v>13</v>
      </c>
      <c r="H66" s="57" t="s">
        <v>45</v>
      </c>
      <c r="I66" s="5"/>
      <c r="J66" s="5"/>
      <c r="K66" s="5"/>
      <c r="L66" s="77">
        <f>L64+L65</f>
        <v>4.5</v>
      </c>
      <c r="M66" s="16" t="s">
        <v>13</v>
      </c>
      <c r="P66" s="85"/>
      <c r="Q66" s="82"/>
      <c r="R66" s="82"/>
      <c r="S66" s="82"/>
      <c r="T66" s="93"/>
      <c r="U66" s="82"/>
      <c r="V66" s="85"/>
      <c r="W66" s="82"/>
      <c r="X66" s="82"/>
      <c r="Y66" s="82"/>
      <c r="Z66" s="93"/>
      <c r="AA66" s="82"/>
    </row>
    <row r="67" spans="3:27" x14ac:dyDescent="0.25">
      <c r="C67" s="57" t="s">
        <v>40</v>
      </c>
      <c r="D67" s="5"/>
      <c r="E67" s="5"/>
      <c r="F67" s="10">
        <f>(((F59*F64/100)/(1+(F64/100)))+((F59*F65/100)/(1+(F65/100))))*1000</f>
        <v>78.286938736174577</v>
      </c>
      <c r="G67" s="18" t="s">
        <v>18</v>
      </c>
      <c r="H67" s="57" t="s">
        <v>40</v>
      </c>
      <c r="I67" s="5"/>
      <c r="J67" s="5"/>
      <c r="K67" s="5"/>
      <c r="L67" s="10">
        <f>(((L59*L64/100)/(1+(L64/100)))+((L59*L65/100)/(1+(L65/100))))*1000</f>
        <v>80.348275498415589</v>
      </c>
      <c r="M67" s="18" t="s">
        <v>18</v>
      </c>
      <c r="P67" s="85"/>
      <c r="Q67" s="82"/>
      <c r="R67" s="82"/>
      <c r="S67" s="82"/>
      <c r="T67" s="94"/>
      <c r="U67" s="95"/>
      <c r="V67" s="85"/>
      <c r="W67" s="82"/>
      <c r="X67" s="82"/>
      <c r="Y67" s="82"/>
      <c r="Z67" s="94"/>
      <c r="AA67" s="95"/>
    </row>
    <row r="68" spans="3:27" x14ac:dyDescent="0.25">
      <c r="C68" s="57" t="s">
        <v>52</v>
      </c>
      <c r="D68" s="5"/>
      <c r="E68" s="5"/>
      <c r="F68" s="10">
        <f>((0.3*F64)+(2.2*F65))</f>
        <v>3.9149999999999996</v>
      </c>
      <c r="G68" s="16" t="s">
        <v>13</v>
      </c>
      <c r="H68" s="57" t="s">
        <v>52</v>
      </c>
      <c r="I68" s="5"/>
      <c r="J68" s="5"/>
      <c r="K68" s="5"/>
      <c r="L68" s="10">
        <f>((0.3*L64)+(2.2*L65))</f>
        <v>3.9149999999999996</v>
      </c>
      <c r="M68" s="16" t="s">
        <v>13</v>
      </c>
      <c r="O68" s="51"/>
      <c r="P68" s="85"/>
      <c r="Q68" s="82"/>
      <c r="R68" s="82"/>
      <c r="S68" s="82"/>
      <c r="T68" s="94"/>
      <c r="U68" s="82"/>
      <c r="V68" s="85"/>
      <c r="W68" s="82"/>
      <c r="X68" s="82"/>
      <c r="Y68" s="82"/>
      <c r="Z68" s="94"/>
      <c r="AA68" s="82"/>
    </row>
    <row r="69" spans="3:27" x14ac:dyDescent="0.25">
      <c r="C69" s="57" t="s">
        <v>52</v>
      </c>
      <c r="D69" s="5"/>
      <c r="E69" s="5"/>
      <c r="F69" s="10">
        <f>(F68)*F59*10</f>
        <v>69.882749999999987</v>
      </c>
      <c r="G69" s="16" t="s">
        <v>17</v>
      </c>
      <c r="H69" s="57" t="s">
        <v>52</v>
      </c>
      <c r="I69" s="58"/>
      <c r="J69" s="5"/>
      <c r="K69" s="5"/>
      <c r="L69" s="10">
        <f>(L68)*L59*10</f>
        <v>71.722799999999992</v>
      </c>
      <c r="M69" s="16" t="s">
        <v>17</v>
      </c>
      <c r="P69" s="85"/>
      <c r="Q69" s="96"/>
      <c r="R69" s="82"/>
      <c r="S69" s="82"/>
      <c r="T69" s="94"/>
      <c r="U69" s="82"/>
      <c r="V69" s="85"/>
      <c r="W69" s="96"/>
      <c r="X69" s="82"/>
      <c r="Y69" s="82"/>
      <c r="Z69" s="94"/>
      <c r="AA69" s="82"/>
    </row>
    <row r="70" spans="3:27" x14ac:dyDescent="0.25">
      <c r="C70" s="57" t="s">
        <v>37</v>
      </c>
      <c r="D70" s="5"/>
      <c r="E70" s="5"/>
      <c r="F70" s="10">
        <f>(F59*F58*10)+F69</f>
        <v>337.63274999999999</v>
      </c>
      <c r="G70" s="16" t="s">
        <v>17</v>
      </c>
      <c r="H70" s="57" t="s">
        <v>37</v>
      </c>
      <c r="I70" s="5"/>
      <c r="J70" s="5"/>
      <c r="K70" s="5"/>
      <c r="L70" s="10">
        <f>((L58*L59*10)+L69)-((L60*L59*10))</f>
        <v>27.472028282565702</v>
      </c>
      <c r="M70" s="16" t="s">
        <v>17</v>
      </c>
      <c r="P70" s="85"/>
      <c r="Q70" s="82"/>
      <c r="R70" s="82"/>
      <c r="S70" s="82"/>
      <c r="T70" s="94"/>
      <c r="U70" s="82"/>
      <c r="V70" s="85"/>
      <c r="W70" s="82"/>
      <c r="X70" s="82"/>
      <c r="Y70" s="82"/>
      <c r="Z70" s="94"/>
      <c r="AA70" s="82"/>
    </row>
    <row r="71" spans="3:27" x14ac:dyDescent="0.25">
      <c r="C71" s="57"/>
      <c r="D71" s="5"/>
      <c r="E71" s="5"/>
      <c r="F71" s="10"/>
      <c r="G71" s="18"/>
      <c r="H71" s="57" t="s">
        <v>26</v>
      </c>
      <c r="I71" s="5"/>
      <c r="J71" s="5"/>
      <c r="K71" s="5"/>
      <c r="L71" s="10">
        <f>F59*F58/175*10</f>
        <v>1.53</v>
      </c>
      <c r="M71" s="18" t="s">
        <v>18</v>
      </c>
      <c r="P71" s="85"/>
      <c r="Q71" s="82"/>
      <c r="R71" s="82"/>
      <c r="S71" s="82"/>
      <c r="T71" s="94"/>
      <c r="U71" s="95"/>
      <c r="V71" s="85"/>
      <c r="W71" s="82"/>
      <c r="X71" s="82"/>
      <c r="Y71" s="82"/>
      <c r="Z71" s="94"/>
      <c r="AA71" s="95"/>
    </row>
    <row r="72" spans="3:27" x14ac:dyDescent="0.25">
      <c r="C72" s="57"/>
      <c r="D72" s="5"/>
      <c r="E72" s="63"/>
      <c r="F72" s="11"/>
      <c r="G72" s="16"/>
      <c r="H72" s="56" t="s">
        <v>39</v>
      </c>
      <c r="I72" s="6"/>
      <c r="J72" s="6"/>
      <c r="K72" s="116" t="str">
        <f>"1  :"</f>
        <v>1  :</v>
      </c>
      <c r="L72" s="117">
        <f>L70/L71</f>
        <v>17.955574040892614</v>
      </c>
      <c r="M72" s="16"/>
      <c r="P72" s="85"/>
      <c r="Q72" s="82"/>
      <c r="R72" s="82"/>
      <c r="S72" s="97"/>
      <c r="T72" s="98"/>
      <c r="U72" s="82"/>
      <c r="V72" s="85"/>
      <c r="W72" s="82"/>
      <c r="X72" s="82"/>
      <c r="Y72" s="97"/>
      <c r="Z72" s="98"/>
      <c r="AA72" s="82"/>
    </row>
    <row r="73" spans="3:27" x14ac:dyDescent="0.25">
      <c r="C73" s="57"/>
      <c r="D73" s="5"/>
      <c r="E73" s="5"/>
      <c r="F73" s="10"/>
      <c r="G73" s="18"/>
      <c r="H73" s="57"/>
      <c r="I73" s="5"/>
      <c r="J73" s="5"/>
      <c r="K73" s="5"/>
      <c r="L73" s="10"/>
      <c r="M73" s="18"/>
      <c r="P73" s="85"/>
      <c r="Q73" s="82"/>
      <c r="R73" s="82"/>
      <c r="S73" s="82"/>
      <c r="T73" s="94"/>
      <c r="U73" s="95"/>
      <c r="V73" s="85"/>
      <c r="W73" s="82"/>
      <c r="X73" s="82"/>
      <c r="Y73" s="82"/>
      <c r="Z73" s="94"/>
      <c r="AA73" s="95"/>
    </row>
    <row r="74" spans="3:27" ht="27" thickBot="1" x14ac:dyDescent="0.45">
      <c r="C74" s="19" t="s">
        <v>53</v>
      </c>
      <c r="D74" s="20"/>
      <c r="E74" s="20"/>
      <c r="F74" s="20"/>
      <c r="G74" s="21"/>
      <c r="H74" s="106" t="str">
        <f>IF(L70&gt;1,"OK - Bindemittelanteil absorbiert Wasseranteil","Bindemittelanteil erhöhen !")</f>
        <v>OK - Bindemittelanteil absorbiert Wasseranteil</v>
      </c>
      <c r="I74" s="107"/>
      <c r="J74" s="107"/>
      <c r="K74" s="107"/>
      <c r="L74" s="107"/>
      <c r="M74" s="108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</row>
    <row r="75" spans="3:27" ht="15.75" thickTop="1" x14ac:dyDescent="0.25"/>
    <row r="76" spans="3:27" x14ac:dyDescent="0.25">
      <c r="L76" s="42"/>
    </row>
    <row r="78" spans="3:27" ht="18.75" x14ac:dyDescent="0.3">
      <c r="D78" s="40" t="s">
        <v>42</v>
      </c>
      <c r="F78" s="42"/>
      <c r="G78" s="43"/>
    </row>
    <row r="79" spans="3:27" x14ac:dyDescent="0.25">
      <c r="D79" s="1" t="s">
        <v>1</v>
      </c>
      <c r="E79" s="75" t="s">
        <v>20</v>
      </c>
      <c r="F79" s="43"/>
      <c r="G79" s="59"/>
    </row>
    <row r="80" spans="3:27" x14ac:dyDescent="0.25">
      <c r="D80" s="49">
        <v>0.1198</v>
      </c>
      <c r="E80" s="42">
        <v>1.73</v>
      </c>
      <c r="F80" s="42"/>
      <c r="G80" s="60"/>
    </row>
    <row r="81" spans="4:7" x14ac:dyDescent="0.25">
      <c r="D81" s="49">
        <v>0.13700000000000001</v>
      </c>
      <c r="E81" s="42">
        <v>1.758</v>
      </c>
      <c r="F81" s="42"/>
    </row>
    <row r="82" spans="4:7" x14ac:dyDescent="0.25">
      <c r="D82" s="49">
        <v>0.1421</v>
      </c>
      <c r="E82" s="42">
        <v>1.7629999999999999</v>
      </c>
      <c r="F82" s="42"/>
      <c r="G82" s="43"/>
    </row>
    <row r="83" spans="4:7" x14ac:dyDescent="0.25">
      <c r="D83" s="49">
        <v>0.15290000000000001</v>
      </c>
      <c r="E83" s="42">
        <v>1.7709999999999999</v>
      </c>
      <c r="F83" s="44"/>
    </row>
    <row r="84" spans="4:7" x14ac:dyDescent="0.25">
      <c r="D84" s="49">
        <v>0.17249999999999999</v>
      </c>
      <c r="E84" s="42">
        <v>1.76</v>
      </c>
      <c r="F84" s="42"/>
      <c r="G84" s="43"/>
    </row>
    <row r="85" spans="4:7" x14ac:dyDescent="0.25">
      <c r="D85" s="49">
        <v>0.19750000000000001</v>
      </c>
      <c r="E85" s="42">
        <v>1.7030000000000001</v>
      </c>
    </row>
  </sheetData>
  <mergeCells count="6">
    <mergeCell ref="V55:AA55"/>
    <mergeCell ref="H74:M74"/>
    <mergeCell ref="G5:M6"/>
    <mergeCell ref="H55:M55"/>
    <mergeCell ref="P55:U55"/>
    <mergeCell ref="C55:G55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ignoredErrors>
    <ignoredError sqref="L7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Additiv Techsoil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2018-08-21T16:57:24Z</dcterms:modified>
</cp:coreProperties>
</file>